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ichael\Performance Measures\"/>
    </mc:Choice>
  </mc:AlternateContent>
  <xr:revisionPtr revIDLastSave="0" documentId="13_ncr:1_{6B0C6A19-2FB9-4C62-B34C-E9516FAAD0DB}" xr6:coauthVersionLast="45" xr6:coauthVersionMax="45" xr10:uidLastSave="{00000000-0000-0000-0000-000000000000}"/>
  <bookViews>
    <workbookView xWindow="-120" yWindow="-120" windowWidth="29040" windowHeight="15840" activeTab="3" xr2:uid="{F2C76123-2A6C-4022-9849-1959B9A9DE6E}"/>
  </bookViews>
  <sheets>
    <sheet name="Metrics Directions" sheetId="10" r:id="rId1"/>
    <sheet name="FR Metrics Q1" sheetId="2" r:id="rId2"/>
    <sheet name="DR Metrics Q1" sheetId="4" r:id="rId3"/>
    <sheet name="SW Metrics Q1" sheetId="9" r:id="rId4"/>
    <sheet name="Data" sheetId="12" r:id="rId5"/>
  </sheets>
  <definedNames>
    <definedName name="RngQuarter">#REF!</definedName>
    <definedName name="TbMon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4" l="1"/>
  <c r="D16" i="4"/>
  <c r="C16" i="4"/>
  <c r="E22" i="4"/>
  <c r="D22" i="4"/>
  <c r="C22" i="4"/>
  <c r="E21" i="2" l="1"/>
  <c r="D21" i="2"/>
  <c r="C21" i="2"/>
  <c r="G26" i="12" l="1"/>
  <c r="H26" i="12"/>
  <c r="F26" i="12"/>
  <c r="G12" i="12"/>
  <c r="H12" i="12"/>
  <c r="F12" i="12"/>
  <c r="C4" i="9" l="1"/>
  <c r="D4" i="9"/>
  <c r="E4" i="9"/>
  <c r="C5" i="9"/>
  <c r="D5" i="9"/>
  <c r="E5" i="9"/>
  <c r="E22" i="9" s="1"/>
  <c r="C6" i="9"/>
  <c r="D6" i="9"/>
  <c r="E6" i="9"/>
  <c r="D24" i="9" l="1"/>
  <c r="D22" i="9"/>
  <c r="C24" i="9"/>
  <c r="C22" i="9"/>
  <c r="E24" i="9"/>
  <c r="F4" i="2"/>
  <c r="F5" i="2"/>
  <c r="F6" i="2"/>
  <c r="C7" i="2"/>
  <c r="D7" i="2"/>
  <c r="E7" i="2"/>
  <c r="C8" i="2"/>
  <c r="D8" i="2"/>
  <c r="E8" i="2"/>
  <c r="F10" i="2"/>
  <c r="F11" i="2"/>
  <c r="C12" i="2"/>
  <c r="D12" i="2"/>
  <c r="E12" i="2"/>
  <c r="C13" i="2"/>
  <c r="D13" i="2"/>
  <c r="E13" i="2"/>
  <c r="C14" i="2"/>
  <c r="D14" i="2"/>
  <c r="E14" i="2"/>
  <c r="C19" i="2"/>
  <c r="D19" i="2"/>
  <c r="E19" i="2"/>
  <c r="F21" i="2"/>
  <c r="F13" i="2" l="1"/>
  <c r="F14" i="2"/>
  <c r="F12" i="2"/>
  <c r="F7" i="2"/>
  <c r="F19" i="2"/>
  <c r="F8" i="2"/>
  <c r="F40" i="12" l="1"/>
  <c r="G40" i="12"/>
  <c r="H40" i="12"/>
  <c r="F42" i="12"/>
  <c r="G42" i="12"/>
  <c r="H42" i="12"/>
  <c r="F44" i="12"/>
  <c r="G44" i="12"/>
  <c r="H44" i="12"/>
  <c r="F46" i="12"/>
  <c r="G46" i="12"/>
  <c r="H46" i="12"/>
  <c r="F47" i="12"/>
  <c r="G47" i="12"/>
  <c r="H47" i="12"/>
  <c r="F17" i="12"/>
  <c r="G17" i="12"/>
  <c r="H17" i="12"/>
  <c r="F18" i="12"/>
  <c r="G18" i="12"/>
  <c r="H18" i="12"/>
  <c r="F21" i="12"/>
  <c r="G21" i="12"/>
  <c r="H21" i="12"/>
  <c r="F22" i="12"/>
  <c r="G22" i="12"/>
  <c r="H22" i="12"/>
  <c r="F27" i="12"/>
  <c r="G27" i="12"/>
  <c r="H27" i="12"/>
  <c r="F29" i="12"/>
  <c r="G29" i="12"/>
  <c r="H29" i="12"/>
  <c r="G16" i="12"/>
  <c r="H16" i="12"/>
  <c r="F16" i="12"/>
  <c r="F3" i="12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3" i="12"/>
  <c r="G13" i="12"/>
  <c r="H13" i="12"/>
  <c r="F14" i="12"/>
  <c r="G14" i="12"/>
  <c r="H14" i="12"/>
  <c r="G2" i="12"/>
  <c r="H2" i="12"/>
  <c r="F2" i="12"/>
  <c r="F5" i="4" l="1"/>
  <c r="E11" i="9" l="1"/>
  <c r="H36" i="12" s="1"/>
  <c r="D11" i="9"/>
  <c r="G36" i="12" s="1"/>
  <c r="C11" i="9"/>
  <c r="F36" i="12" s="1"/>
  <c r="E10" i="9"/>
  <c r="H35" i="12" s="1"/>
  <c r="D10" i="9"/>
  <c r="G35" i="12" s="1"/>
  <c r="C10" i="9"/>
  <c r="F35" i="12" s="1"/>
  <c r="H32" i="12"/>
  <c r="G32" i="12"/>
  <c r="F32" i="12"/>
  <c r="H31" i="12"/>
  <c r="G31" i="12"/>
  <c r="F31" i="12"/>
  <c r="G30" i="12"/>
  <c r="H30" i="12"/>
  <c r="F30" i="12"/>
  <c r="F27" i="9" l="1"/>
  <c r="F26" i="9"/>
  <c r="F23" i="9"/>
  <c r="F21" i="9"/>
  <c r="F19" i="9"/>
  <c r="D28" i="9"/>
  <c r="G48" i="12" s="1"/>
  <c r="E28" i="9"/>
  <c r="H48" i="12" s="1"/>
  <c r="C28" i="9"/>
  <c r="F48" i="12" s="1"/>
  <c r="G45" i="12"/>
  <c r="H45" i="12"/>
  <c r="F45" i="12"/>
  <c r="G43" i="12"/>
  <c r="H43" i="12"/>
  <c r="F43" i="12"/>
  <c r="D20" i="9"/>
  <c r="G41" i="12" s="1"/>
  <c r="E20" i="9"/>
  <c r="H41" i="12" s="1"/>
  <c r="C20" i="9"/>
  <c r="F41" i="12" s="1"/>
  <c r="F28" i="9" l="1"/>
  <c r="F22" i="4" l="1"/>
  <c r="D20" i="4"/>
  <c r="G28" i="12" s="1"/>
  <c r="E20" i="4"/>
  <c r="H28" i="12" s="1"/>
  <c r="C20" i="4"/>
  <c r="F28" i="12" s="1"/>
  <c r="F16" i="4"/>
  <c r="E14" i="9" l="1"/>
  <c r="H39" i="12" s="1"/>
  <c r="D14" i="9"/>
  <c r="G39" i="12" s="1"/>
  <c r="C14" i="9"/>
  <c r="F39" i="12" s="1"/>
  <c r="E13" i="9"/>
  <c r="H38" i="12" s="1"/>
  <c r="D13" i="9"/>
  <c r="G38" i="12" s="1"/>
  <c r="C13" i="9"/>
  <c r="F38" i="12" s="1"/>
  <c r="E12" i="9"/>
  <c r="H37" i="12" s="1"/>
  <c r="D12" i="9"/>
  <c r="G37" i="12" s="1"/>
  <c r="C12" i="9"/>
  <c r="F37" i="12" s="1"/>
  <c r="F11" i="9"/>
  <c r="F10" i="9"/>
  <c r="E8" i="9"/>
  <c r="H34" i="12" s="1"/>
  <c r="D8" i="9"/>
  <c r="G34" i="12" s="1"/>
  <c r="C8" i="9"/>
  <c r="F34" i="12" s="1"/>
  <c r="E7" i="9"/>
  <c r="H33" i="12" s="1"/>
  <c r="D7" i="9"/>
  <c r="G33" i="12" s="1"/>
  <c r="C7" i="9"/>
  <c r="F33" i="12" s="1"/>
  <c r="F6" i="9"/>
  <c r="F5" i="9"/>
  <c r="F4" i="9"/>
  <c r="F20" i="9" s="1"/>
  <c r="E14" i="4"/>
  <c r="H25" i="12" s="1"/>
  <c r="D14" i="4"/>
  <c r="G25" i="12" s="1"/>
  <c r="C14" i="4"/>
  <c r="F25" i="12" s="1"/>
  <c r="E13" i="4"/>
  <c r="H24" i="12" s="1"/>
  <c r="D13" i="4"/>
  <c r="G24" i="12" s="1"/>
  <c r="C13" i="4"/>
  <c r="F24" i="12" s="1"/>
  <c r="E12" i="4"/>
  <c r="H23" i="12" s="1"/>
  <c r="D12" i="4"/>
  <c r="G23" i="12" s="1"/>
  <c r="C12" i="4"/>
  <c r="F23" i="12" s="1"/>
  <c r="F11" i="4"/>
  <c r="F10" i="4"/>
  <c r="E8" i="4"/>
  <c r="H20" i="12" s="1"/>
  <c r="D8" i="4"/>
  <c r="G20" i="12" s="1"/>
  <c r="C8" i="4"/>
  <c r="F20" i="12" s="1"/>
  <c r="E7" i="4"/>
  <c r="H19" i="12" s="1"/>
  <c r="D7" i="4"/>
  <c r="G19" i="12" s="1"/>
  <c r="C7" i="4"/>
  <c r="F19" i="12" s="1"/>
  <c r="F6" i="4"/>
  <c r="F4" i="4"/>
  <c r="F12" i="9" l="1"/>
  <c r="F22" i="9"/>
  <c r="F24" i="9"/>
  <c r="F20" i="4"/>
  <c r="F12" i="4"/>
  <c r="F14" i="9"/>
  <c r="F7" i="9"/>
  <c r="F8" i="9"/>
  <c r="F14" i="4"/>
  <c r="F7" i="4"/>
  <c r="F8" i="4"/>
  <c r="F13" i="9"/>
  <c r="F13" i="4"/>
</calcChain>
</file>

<file path=xl/sharedStrings.xml><?xml version="1.0" encoding="utf-8"?>
<sst xmlns="http://schemas.openxmlformats.org/spreadsheetml/2006/main" count="316" uniqueCount="78">
  <si>
    <t>Universal Metrics</t>
  </si>
  <si>
    <t>Unlinked Passenger Trips (UPT)</t>
  </si>
  <si>
    <t>Vehicle Revenue Miles (VRM)</t>
  </si>
  <si>
    <t>Vehicle Revenue Hours (VRH)</t>
  </si>
  <si>
    <t>UPT/VRM</t>
  </si>
  <si>
    <t>UPT/VRH</t>
  </si>
  <si>
    <t xml:space="preserve">Financial Performance Metrics </t>
  </si>
  <si>
    <t>Ridership Performance Metrics</t>
  </si>
  <si>
    <t>Operating Expenses</t>
  </si>
  <si>
    <t>Fare Revenues</t>
  </si>
  <si>
    <t>Farebox Recovery Ratio</t>
  </si>
  <si>
    <t>Operating Expenses/VRM</t>
  </si>
  <si>
    <t>Operating Expenses/VRH</t>
  </si>
  <si>
    <t>Customer Service Performance Metrics</t>
  </si>
  <si>
    <t>On-time Performance/Schedule Adherence</t>
  </si>
  <si>
    <t>Additional Metrics</t>
  </si>
  <si>
    <t>Asset Management Performance Metrics</t>
  </si>
  <si>
    <t>Notes</t>
  </si>
  <si>
    <t>Baseline
(FY16-FY18)</t>
  </si>
  <si>
    <t>Subsidy/UPT</t>
  </si>
  <si>
    <t xml:space="preserve">% of Completed Trips </t>
  </si>
  <si>
    <t xml:space="preserve">Subsidy/UPT </t>
  </si>
  <si>
    <t>Preventable Accidents/100,000 Revenue Miles</t>
  </si>
  <si>
    <t>Road Calls/100,000 Revenue Miles</t>
  </si>
  <si>
    <t>% of Rev. Vehicles Inspections Comp. On-time</t>
  </si>
  <si>
    <t>Valid Complaints/100,000 UPT</t>
  </si>
  <si>
    <t>Number of Complaints</t>
  </si>
  <si>
    <t>Number of Preventable Accidents</t>
  </si>
  <si>
    <t>Number of Road Calls</t>
  </si>
  <si>
    <t>Number of Scheduled Inspections</t>
  </si>
  <si>
    <t>Number of Completed Inspections</t>
  </si>
  <si>
    <t>MOU PERFORMANCE METRIC REPORTING FORM - DIRECTIONS FOR METRICS SHEETS</t>
  </si>
  <si>
    <t xml:space="preserve">each month of the quarter for each metric. Cells that require data entry are in a regular font, while cells that are calculated for </t>
  </si>
  <si>
    <t>This process will need to be repeated three times: 1) for Fixed Route (FR); 2) for Demand Response (DR); 3) for Systemwide (SW).</t>
  </si>
  <si>
    <t>Elizabeth.McCarthy@dot.state.ma.us</t>
  </si>
  <si>
    <t>FRTA</t>
  </si>
  <si>
    <r>
      <t xml:space="preserve">you are </t>
    </r>
    <r>
      <rPr>
        <i/>
        <sz val="13"/>
        <rFont val="Calibri"/>
        <family val="2"/>
        <scheme val="minor"/>
      </rPr>
      <t>italicized and colored yellow</t>
    </r>
    <r>
      <rPr>
        <sz val="13"/>
        <rFont val="Calibri"/>
        <family val="2"/>
        <scheme val="minor"/>
      </rPr>
      <t xml:space="preserve">. Please note that Q1 Subtotal will also be calculated for you. </t>
    </r>
  </si>
  <si>
    <t>RTA</t>
  </si>
  <si>
    <t>Type</t>
  </si>
  <si>
    <t>Fiscal Year</t>
  </si>
  <si>
    <t>Quarter</t>
  </si>
  <si>
    <t>Metric</t>
  </si>
  <si>
    <t>UPT</t>
  </si>
  <si>
    <t>VRH</t>
  </si>
  <si>
    <t>VRM</t>
  </si>
  <si>
    <t>FR</t>
  </si>
  <si>
    <t>DR</t>
  </si>
  <si>
    <t>SW</t>
  </si>
  <si>
    <t>Fare revenues</t>
  </si>
  <si>
    <t>OPEX</t>
  </si>
  <si>
    <t>FRR</t>
  </si>
  <si>
    <t>OPEX/VRM</t>
  </si>
  <si>
    <t>OPEX/VRH</t>
  </si>
  <si>
    <t>OTP</t>
  </si>
  <si>
    <t>% Completed trips</t>
  </si>
  <si>
    <t>Valid complaints</t>
  </si>
  <si>
    <t>Preventable accidents</t>
  </si>
  <si>
    <t>Preventable accidents/100,000 VRM</t>
  </si>
  <si>
    <t>Road calls</t>
  </si>
  <si>
    <t>Road calls/100,000 VRM</t>
  </si>
  <si>
    <t>Maintenance scheduled</t>
  </si>
  <si>
    <t>Maintenance completed</t>
  </si>
  <si>
    <t>% Maintenance completed</t>
  </si>
  <si>
    <t>Valid complaints/100,000 UPT</t>
  </si>
  <si>
    <t>OPEX/UPT</t>
  </si>
  <si>
    <t xml:space="preserve">For Quarter 1, which covers the months of July, August and September, please fill out the actuals for </t>
  </si>
  <si>
    <r>
      <t xml:space="preserve">Following the calendar end of each quarter, please send the completed form no later than </t>
    </r>
    <r>
      <rPr>
        <b/>
        <sz val="13"/>
        <color theme="1"/>
        <rFont val="Calibri"/>
        <family val="2"/>
        <scheme val="minor"/>
      </rPr>
      <t>November 15, 2020</t>
    </r>
    <r>
      <rPr>
        <sz val="13"/>
        <color theme="1"/>
        <rFont val="Calibri"/>
        <family val="2"/>
        <scheme val="minor"/>
      </rPr>
      <t xml:space="preserve"> (45 days after close) to Ellie McCarthy.</t>
    </r>
  </si>
  <si>
    <t>PLEASE do not make any edits to the "Data" worksheet!</t>
  </si>
  <si>
    <t>July</t>
  </si>
  <si>
    <t>August</t>
  </si>
  <si>
    <t>September</t>
  </si>
  <si>
    <t>Q1 Subtotal</t>
  </si>
  <si>
    <t>FRTA FY21 (Year 2) Fixed Route Performance Metrics - Q1</t>
  </si>
  <si>
    <t>Year 2 Target</t>
  </si>
  <si>
    <t>FRTA FY21 (Year 2) Demand Response Performance Metrics - Q1</t>
  </si>
  <si>
    <t>FRTA FY21 (Year 2) Systemwide Performance Metrics - Q1</t>
  </si>
  <si>
    <t>Q1</t>
  </si>
  <si>
    <t>62 Trips/Day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</si>
</sst>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1" fillId="2" borderId="5" xfId="0" applyFont="1" applyFill="1" applyBorder="1"/>
    <xf numFmtId="0" fontId="0" fillId="2" borderId="0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1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2" fillId="0" borderId="7" xfId="0" applyFont="1" applyBorder="1"/>
    <xf numFmtId="0" fontId="0" fillId="0" borderId="13" xfId="0" applyFont="1" applyBorder="1"/>
    <xf numFmtId="0" fontId="0" fillId="0" borderId="1" xfId="0" applyBorder="1"/>
    <xf numFmtId="0" fontId="0" fillId="0" borderId="14" xfId="0" applyBorder="1"/>
    <xf numFmtId="0" fontId="1" fillId="2" borderId="15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13" xfId="0" applyFont="1" applyFill="1" applyBorder="1"/>
    <xf numFmtId="0" fontId="0" fillId="0" borderId="3" xfId="0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5" xfId="0" applyNumberFormat="1" applyBorder="1"/>
    <xf numFmtId="2" fontId="2" fillId="0" borderId="7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10" fontId="2" fillId="0" borderId="5" xfId="0" applyNumberFormat="1" applyFont="1" applyBorder="1"/>
    <xf numFmtId="164" fontId="2" fillId="0" borderId="7" xfId="0" applyNumberFormat="1" applyFont="1" applyBorder="1"/>
    <xf numFmtId="164" fontId="0" fillId="0" borderId="11" xfId="0" applyNumberFormat="1" applyBorder="1"/>
    <xf numFmtId="7" fontId="0" fillId="0" borderId="2" xfId="0" applyNumberFormat="1" applyBorder="1"/>
    <xf numFmtId="0" fontId="1" fillId="2" borderId="3" xfId="0" applyFont="1" applyFill="1" applyBorder="1"/>
    <xf numFmtId="0" fontId="0" fillId="2" borderId="3" xfId="0" applyFill="1" applyBorder="1"/>
    <xf numFmtId="0" fontId="2" fillId="0" borderId="10" xfId="0" applyFont="1" applyBorder="1"/>
    <xf numFmtId="7" fontId="0" fillId="0" borderId="10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2" fillId="0" borderId="5" xfId="0" applyNumberFormat="1" applyFont="1" applyBorder="1"/>
    <xf numFmtId="10" fontId="0" fillId="0" borderId="13" xfId="0" applyNumberFormat="1" applyFont="1" applyBorder="1"/>
    <xf numFmtId="10" fontId="0" fillId="0" borderId="13" xfId="0" applyNumberFormat="1" applyBorder="1"/>
    <xf numFmtId="10" fontId="0" fillId="0" borderId="15" xfId="0" applyNumberFormat="1" applyBorder="1"/>
    <xf numFmtId="10" fontId="0" fillId="0" borderId="14" xfId="0" applyNumberFormat="1" applyBorder="1"/>
    <xf numFmtId="2" fontId="2" fillId="0" borderId="5" xfId="0" applyNumberFormat="1" applyFont="1" applyBorder="1"/>
    <xf numFmtId="2" fontId="0" fillId="0" borderId="11" xfId="0" applyNumberFormat="1" applyBorder="1"/>
    <xf numFmtId="7" fontId="0" fillId="0" borderId="5" xfId="0" applyNumberFormat="1" applyBorder="1"/>
    <xf numFmtId="7" fontId="0" fillId="0" borderId="11" xfId="0" applyNumberFormat="1" applyBorder="1"/>
    <xf numFmtId="2" fontId="0" fillId="0" borderId="5" xfId="0" applyNumberFormat="1" applyBorder="1"/>
    <xf numFmtId="0" fontId="0" fillId="0" borderId="13" xfId="0" applyBorder="1"/>
    <xf numFmtId="10" fontId="0" fillId="0" borderId="1" xfId="0" applyNumberFormat="1" applyFont="1" applyBorder="1"/>
    <xf numFmtId="0" fontId="2" fillId="0" borderId="2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0" fontId="2" fillId="0" borderId="11" xfId="0" applyFont="1" applyBorder="1"/>
    <xf numFmtId="10" fontId="2" fillId="0" borderId="11" xfId="0" applyNumberFormat="1" applyFont="1" applyBorder="1"/>
    <xf numFmtId="164" fontId="2" fillId="0" borderId="12" xfId="0" applyNumberFormat="1" applyFont="1" applyBorder="1"/>
    <xf numFmtId="164" fontId="2" fillId="0" borderId="2" xfId="0" applyNumberFormat="1" applyFont="1" applyBorder="1"/>
    <xf numFmtId="164" fontId="2" fillId="0" borderId="10" xfId="0" applyNumberFormat="1" applyFont="1" applyBorder="1"/>
    <xf numFmtId="0" fontId="2" fillId="0" borderId="12" xfId="0" applyFont="1" applyBorder="1"/>
    <xf numFmtId="8" fontId="2" fillId="0" borderId="12" xfId="0" applyNumberFormat="1" applyFont="1" applyBorder="1"/>
    <xf numFmtId="8" fontId="2" fillId="0" borderId="10" xfId="0" applyNumberFormat="1" applyFont="1" applyBorder="1"/>
    <xf numFmtId="8" fontId="2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1"/>
    <xf numFmtId="0" fontId="12" fillId="0" borderId="0" xfId="0" applyFont="1"/>
    <xf numFmtId="0" fontId="9" fillId="4" borderId="0" xfId="0" applyFont="1" applyFill="1"/>
    <xf numFmtId="3" fontId="0" fillId="0" borderId="0" xfId="0" applyNumberFormat="1"/>
    <xf numFmtId="0" fontId="14" fillId="0" borderId="0" xfId="0" applyFont="1"/>
    <xf numFmtId="3" fontId="2" fillId="4" borderId="10" xfId="0" applyNumberFormat="1" applyFont="1" applyFill="1" applyBorder="1"/>
    <xf numFmtId="3" fontId="2" fillId="4" borderId="11" xfId="0" applyNumberFormat="1" applyFont="1" applyFill="1" applyBorder="1"/>
    <xf numFmtId="0" fontId="2" fillId="4" borderId="5" xfId="0" applyFont="1" applyFill="1" applyBorder="1"/>
    <xf numFmtId="0" fontId="2" fillId="4" borderId="0" xfId="0" applyFont="1" applyFill="1"/>
    <xf numFmtId="0" fontId="2" fillId="4" borderId="6" xfId="0" applyFont="1" applyFill="1" applyBorder="1"/>
    <xf numFmtId="2" fontId="2" fillId="4" borderId="7" xfId="0" applyNumberFormat="1" applyFont="1" applyFill="1" applyBorder="1"/>
    <xf numFmtId="2" fontId="2" fillId="4" borderId="8" xfId="0" applyNumberFormat="1" applyFont="1" applyFill="1" applyBorder="1"/>
    <xf numFmtId="2" fontId="2" fillId="4" borderId="9" xfId="0" applyNumberFormat="1" applyFont="1" applyFill="1" applyBorder="1"/>
    <xf numFmtId="164" fontId="2" fillId="4" borderId="10" xfId="0" applyNumberFormat="1" applyFont="1" applyFill="1" applyBorder="1"/>
    <xf numFmtId="164" fontId="0" fillId="0" borderId="0" xfId="0" applyNumberFormat="1"/>
    <xf numFmtId="164" fontId="2" fillId="4" borderId="11" xfId="0" applyNumberFormat="1" applyFont="1" applyFill="1" applyBorder="1"/>
    <xf numFmtId="10" fontId="2" fillId="4" borderId="5" xfId="0" applyNumberFormat="1" applyFont="1" applyFill="1" applyBorder="1"/>
    <xf numFmtId="10" fontId="2" fillId="4" borderId="0" xfId="0" applyNumberFormat="1" applyFont="1" applyFill="1"/>
    <xf numFmtId="10" fontId="2" fillId="4" borderId="6" xfId="0" applyNumberFormat="1" applyFont="1" applyFill="1" applyBorder="1"/>
    <xf numFmtId="164" fontId="2" fillId="4" borderId="5" xfId="0" applyNumberFormat="1" applyFont="1" applyFill="1" applyBorder="1"/>
    <xf numFmtId="164" fontId="2" fillId="4" borderId="0" xfId="0" applyNumberFormat="1" applyFont="1" applyFill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7" fontId="2" fillId="4" borderId="2" xfId="0" applyNumberFormat="1" applyFont="1" applyFill="1" applyBorder="1"/>
    <xf numFmtId="7" fontId="2" fillId="4" borderId="3" xfId="0" applyNumberFormat="1" applyFont="1" applyFill="1" applyBorder="1"/>
    <xf numFmtId="7" fontId="2" fillId="4" borderId="4" xfId="0" applyNumberFormat="1" applyFont="1" applyFill="1" applyBorder="1"/>
    <xf numFmtId="7" fontId="2" fillId="4" borderId="10" xfId="0" applyNumberFormat="1" applyFont="1" applyFill="1" applyBorder="1"/>
    <xf numFmtId="10" fontId="2" fillId="0" borderId="1" xfId="0" applyNumberFormat="1" applyFont="1" applyBorder="1"/>
    <xf numFmtId="3" fontId="2" fillId="4" borderId="2" xfId="0" applyNumberFormat="1" applyFont="1" applyFill="1" applyBorder="1"/>
    <xf numFmtId="3" fontId="2" fillId="4" borderId="3" xfId="0" applyNumberFormat="1" applyFont="1" applyFill="1" applyBorder="1"/>
    <xf numFmtId="3" fontId="2" fillId="4" borderId="4" xfId="0" applyNumberFormat="1" applyFont="1" applyFill="1" applyBorder="1"/>
    <xf numFmtId="3" fontId="2" fillId="4" borderId="5" xfId="0" applyNumberFormat="1" applyFont="1" applyFill="1" applyBorder="1"/>
    <xf numFmtId="3" fontId="2" fillId="4" borderId="0" xfId="0" applyNumberFormat="1" applyFont="1" applyFill="1"/>
    <xf numFmtId="3" fontId="2" fillId="4" borderId="6" xfId="0" applyNumberFormat="1" applyFont="1" applyFill="1" applyBorder="1"/>
    <xf numFmtId="2" fontId="2" fillId="4" borderId="5" xfId="0" applyNumberFormat="1" applyFont="1" applyFill="1" applyBorder="1"/>
    <xf numFmtId="2" fontId="2" fillId="4" borderId="0" xfId="0" applyNumberFormat="1" applyFont="1" applyFill="1"/>
    <xf numFmtId="2" fontId="2" fillId="4" borderId="6" xfId="0" applyNumberFormat="1" applyFont="1" applyFill="1" applyBorder="1"/>
    <xf numFmtId="0" fontId="2" fillId="2" borderId="0" xfId="0" applyFont="1" applyFill="1"/>
    <xf numFmtId="0" fontId="2" fillId="2" borderId="15" xfId="0" applyFont="1" applyFill="1" applyBorder="1"/>
    <xf numFmtId="164" fontId="2" fillId="4" borderId="2" xfId="0" applyNumberFormat="1" applyFont="1" applyFill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7" fontId="2" fillId="4" borderId="11" xfId="0" applyNumberFormat="1" applyFont="1" applyFill="1" applyBorder="1"/>
    <xf numFmtId="0" fontId="0" fillId="0" borderId="9" xfId="0" applyBorder="1"/>
    <xf numFmtId="2" fontId="2" fillId="4" borderId="11" xfId="0" applyNumberFormat="1" applyFont="1" applyFill="1" applyBorder="1"/>
    <xf numFmtId="10" fontId="2" fillId="0" borderId="8" xfId="0" applyNumberFormat="1" applyFont="1" applyBorder="1"/>
    <xf numFmtId="10" fontId="2" fillId="0" borderId="12" xfId="0" applyNumberFormat="1" applyFont="1" applyBorder="1"/>
    <xf numFmtId="2" fontId="2" fillId="4" borderId="12" xfId="0" applyNumberFormat="1" applyFont="1" applyFill="1" applyBorder="1"/>
    <xf numFmtId="10" fontId="2" fillId="4" borderId="7" xfId="0" applyNumberFormat="1" applyFont="1" applyFill="1" applyBorder="1"/>
    <xf numFmtId="10" fontId="2" fillId="4" borderId="8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10" fontId="2" fillId="4" borderId="12" xfId="0" applyNumberFormat="1" applyFont="1" applyFill="1" applyBorder="1"/>
    <xf numFmtId="10" fontId="2" fillId="4" borderId="1" xfId="0" applyNumberFormat="1" applyFont="1" applyFill="1" applyBorder="1"/>
    <xf numFmtId="3" fontId="2" fillId="0" borderId="10" xfId="0" applyNumberFormat="1" applyFont="1" applyBorder="1"/>
    <xf numFmtId="10" fontId="0" fillId="0" borderId="13" xfId="2" applyNumberFormat="1" applyFont="1" applyBorder="1"/>
    <xf numFmtId="0" fontId="6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10" fontId="2" fillId="4" borderId="1" xfId="2" applyNumberFormat="1" applyFont="1" applyFill="1" applyBorder="1"/>
    <xf numFmtId="10" fontId="0" fillId="0" borderId="15" xfId="2" applyNumberFormat="1" applyFont="1" applyBorder="1"/>
    <xf numFmtId="10" fontId="0" fillId="0" borderId="14" xfId="2" applyNumberFormat="1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zabeth.McCarthy@dot.state.ma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A308-596D-48AE-87F0-21BB89455F6C}">
  <sheetPr>
    <tabColor rgb="FFFF0000"/>
    <pageSetUpPr fitToPage="1"/>
  </sheetPr>
  <dimension ref="A1:N13"/>
  <sheetViews>
    <sheetView workbookViewId="0">
      <selection activeCell="P28" sqref="P28"/>
    </sheetView>
  </sheetViews>
  <sheetFormatPr defaultColWidth="9.140625" defaultRowHeight="17.25" x14ac:dyDescent="0.3"/>
  <cols>
    <col min="1" max="16384" width="9.140625" style="69"/>
  </cols>
  <sheetData>
    <row r="1" spans="1:14" s="67" customFormat="1" ht="21" x14ac:dyDescent="0.35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68" t="s">
        <v>35</v>
      </c>
    </row>
    <row r="3" spans="1:14" x14ac:dyDescent="0.3">
      <c r="A3" s="69" t="s">
        <v>65</v>
      </c>
    </row>
    <row r="4" spans="1:14" x14ac:dyDescent="0.3">
      <c r="A4" s="69" t="s">
        <v>32</v>
      </c>
    </row>
    <row r="5" spans="1:14" x14ac:dyDescent="0.3">
      <c r="A5" s="71" t="s">
        <v>36</v>
      </c>
      <c r="D5" s="72"/>
    </row>
    <row r="7" spans="1:14" x14ac:dyDescent="0.3">
      <c r="A7" s="69" t="s">
        <v>33</v>
      </c>
    </row>
    <row r="9" spans="1:14" x14ac:dyDescent="0.3">
      <c r="A9" s="69" t="s">
        <v>66</v>
      </c>
    </row>
    <row r="10" spans="1:14" x14ac:dyDescent="0.3">
      <c r="B10" s="70" t="s">
        <v>34</v>
      </c>
    </row>
    <row r="13" spans="1:14" x14ac:dyDescent="0.3">
      <c r="A13" s="74" t="s">
        <v>67</v>
      </c>
    </row>
  </sheetData>
  <mergeCells count="1">
    <mergeCell ref="A1:L1"/>
  </mergeCells>
  <hyperlinks>
    <hyperlink ref="B10" r:id="rId1" xr:uid="{DB7860EF-60E7-4B88-9E3F-E27869897591}"/>
  </hyperlinks>
  <pageMargins left="0" right="0" top="0" bottom="0" header="0.3" footer="0.3"/>
  <pageSetup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6F7A-1D70-4246-BC06-EB9751501F6E}">
  <sheetPr>
    <tabColor theme="9"/>
    <pageSetUpPr fitToPage="1"/>
  </sheetPr>
  <dimension ref="A1:H21"/>
  <sheetViews>
    <sheetView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9" t="s">
        <v>72</v>
      </c>
      <c r="B1" s="129"/>
      <c r="C1" s="129"/>
      <c r="D1" s="129"/>
      <c r="E1" s="129"/>
      <c r="F1" s="129"/>
      <c r="G1" s="129"/>
      <c r="H1" s="129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6" t="s">
        <v>71</v>
      </c>
      <c r="G2" s="26" t="s">
        <v>73</v>
      </c>
      <c r="H2" s="26" t="s">
        <v>17</v>
      </c>
    </row>
    <row r="3" spans="1:8" x14ac:dyDescent="0.25">
      <c r="A3" s="1" t="s">
        <v>7</v>
      </c>
      <c r="B3" s="17"/>
      <c r="C3" s="19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126308</v>
      </c>
      <c r="C4" s="28">
        <v>2741</v>
      </c>
      <c r="D4" s="73">
        <v>2629</v>
      </c>
      <c r="E4" s="73">
        <v>2789</v>
      </c>
      <c r="F4" s="75">
        <f>SUM(C4:E4)</f>
        <v>8159</v>
      </c>
      <c r="G4" s="31">
        <v>131140</v>
      </c>
      <c r="H4" s="11"/>
    </row>
    <row r="5" spans="1:8" x14ac:dyDescent="0.25">
      <c r="A5" s="3" t="s">
        <v>2</v>
      </c>
      <c r="B5" s="3"/>
      <c r="C5" s="29">
        <v>22811.7</v>
      </c>
      <c r="D5" s="73">
        <v>20247.169999999998</v>
      </c>
      <c r="E5" s="73">
        <v>19526.900000000001</v>
      </c>
      <c r="F5" s="76">
        <f>SUM(C5:E5)</f>
        <v>62585.77</v>
      </c>
      <c r="G5" s="8"/>
      <c r="H5" s="8"/>
    </row>
    <row r="6" spans="1:8" x14ac:dyDescent="0.25">
      <c r="A6" s="3" t="s">
        <v>3</v>
      </c>
      <c r="B6" s="3"/>
      <c r="C6" s="29">
        <v>792.04</v>
      </c>
      <c r="D6" s="73">
        <v>720</v>
      </c>
      <c r="E6" s="73">
        <v>723.17</v>
      </c>
      <c r="F6" s="76">
        <f>SUM(C6:E6)</f>
        <v>2235.21</v>
      </c>
      <c r="G6" s="8"/>
      <c r="H6" s="8"/>
    </row>
    <row r="7" spans="1:8" hidden="1" x14ac:dyDescent="0.25">
      <c r="A7" s="6" t="s">
        <v>4</v>
      </c>
      <c r="B7" s="6"/>
      <c r="C7" s="77">
        <f>C4/C5</f>
        <v>0.12015763840485365</v>
      </c>
      <c r="D7" s="78">
        <f t="shared" ref="D7:E7" si="0">D4/D5</f>
        <v>0.12984530677620626</v>
      </c>
      <c r="E7" s="79">
        <f t="shared" si="0"/>
        <v>0.14282861078819473</v>
      </c>
      <c r="F7" s="79">
        <f t="shared" ref="F7" si="1">F4/F5</f>
        <v>0.1303650973695778</v>
      </c>
      <c r="G7" s="8"/>
      <c r="H7" s="8"/>
    </row>
    <row r="8" spans="1:8" x14ac:dyDescent="0.25">
      <c r="A8" s="13" t="s">
        <v>5</v>
      </c>
      <c r="B8" s="13">
        <v>8.52</v>
      </c>
      <c r="C8" s="80">
        <f>C4/C6</f>
        <v>3.4606838038482906</v>
      </c>
      <c r="D8" s="81">
        <f t="shared" ref="D8:E8" si="2">D4/D6</f>
        <v>3.651388888888889</v>
      </c>
      <c r="E8" s="82">
        <f t="shared" si="2"/>
        <v>3.85663122087476</v>
      </c>
      <c r="F8" s="82">
        <f t="shared" ref="F8" si="3">F4/F6</f>
        <v>3.6502163107716949</v>
      </c>
      <c r="G8" s="63">
        <v>8.84</v>
      </c>
      <c r="H8" s="9"/>
    </row>
    <row r="9" spans="1:8" x14ac:dyDescent="0.25">
      <c r="A9" s="1" t="s">
        <v>6</v>
      </c>
      <c r="B9" s="17"/>
      <c r="C9" s="2"/>
      <c r="D9" s="19"/>
      <c r="E9" s="19"/>
      <c r="F9" s="19"/>
      <c r="G9" s="19"/>
      <c r="H9" s="18"/>
    </row>
    <row r="10" spans="1:8" x14ac:dyDescent="0.25">
      <c r="A10" s="10" t="s">
        <v>9</v>
      </c>
      <c r="B10" s="10"/>
      <c r="C10" s="41">
        <v>50.35</v>
      </c>
      <c r="D10" s="84">
        <v>77.45</v>
      </c>
      <c r="E10" s="84">
        <v>442.65</v>
      </c>
      <c r="F10" s="83">
        <f>SUM(C10:E10)</f>
        <v>570.45000000000005</v>
      </c>
      <c r="G10" s="11"/>
      <c r="H10" s="11"/>
    </row>
    <row r="11" spans="1:8" x14ac:dyDescent="0.25">
      <c r="A11" s="3" t="s">
        <v>8</v>
      </c>
      <c r="B11" s="3"/>
      <c r="C11" s="42">
        <v>246298.43</v>
      </c>
      <c r="D11" s="84">
        <v>144600.1</v>
      </c>
      <c r="E11" s="84">
        <v>114643.47</v>
      </c>
      <c r="F11" s="85">
        <f>SUM(C11:E11)</f>
        <v>505542</v>
      </c>
      <c r="G11" s="8"/>
      <c r="H11" s="8"/>
    </row>
    <row r="12" spans="1:8" x14ac:dyDescent="0.25">
      <c r="A12" s="6" t="s">
        <v>10</v>
      </c>
      <c r="B12" s="33">
        <v>5.96E-2</v>
      </c>
      <c r="C12" s="86">
        <f>C10/C11</f>
        <v>2.0442680044692124E-4</v>
      </c>
      <c r="D12" s="87">
        <f t="shared" ref="D12:F12" si="4">D10/D11</f>
        <v>5.3561512059811854E-4</v>
      </c>
      <c r="E12" s="88">
        <f t="shared" si="4"/>
        <v>3.8611008546758046E-3</v>
      </c>
      <c r="F12" s="88">
        <f t="shared" si="4"/>
        <v>1.1283928931720808E-3</v>
      </c>
      <c r="G12" s="59">
        <v>6.1699999999999998E-2</v>
      </c>
      <c r="H12" s="8"/>
    </row>
    <row r="13" spans="1:8" hidden="1" x14ac:dyDescent="0.25">
      <c r="A13" s="6" t="s">
        <v>11</v>
      </c>
      <c r="B13" s="6"/>
      <c r="C13" s="89">
        <f>C11/C5</f>
        <v>10.797022142146353</v>
      </c>
      <c r="D13" s="90">
        <f t="shared" ref="D13:F13" si="5">D11/D5</f>
        <v>7.1417437597451903</v>
      </c>
      <c r="E13" s="91">
        <f t="shared" si="5"/>
        <v>5.8710532649831766</v>
      </c>
      <c r="F13" s="91">
        <f t="shared" si="5"/>
        <v>8.0775869658550175</v>
      </c>
      <c r="G13" s="58"/>
      <c r="H13" s="8"/>
    </row>
    <row r="14" spans="1:8" x14ac:dyDescent="0.25">
      <c r="A14" s="13" t="s">
        <v>12</v>
      </c>
      <c r="B14" s="34">
        <v>128.44999999999999</v>
      </c>
      <c r="C14" s="92">
        <f>C11/C6</f>
        <v>310.96716074945709</v>
      </c>
      <c r="D14" s="93">
        <f t="shared" ref="D14:F14" si="6">D11/D6</f>
        <v>200.83347222222224</v>
      </c>
      <c r="E14" s="94">
        <f t="shared" si="6"/>
        <v>158.52907338523445</v>
      </c>
      <c r="F14" s="94">
        <f t="shared" si="6"/>
        <v>226.17203752667535</v>
      </c>
      <c r="G14" s="64">
        <v>133.63</v>
      </c>
      <c r="H14" s="9"/>
    </row>
    <row r="15" spans="1:8" hidden="1" x14ac:dyDescent="0.25">
      <c r="A15" s="1" t="s">
        <v>13</v>
      </c>
      <c r="B15" s="37"/>
      <c r="C15" s="7"/>
      <c r="D15" s="37"/>
      <c r="E15" s="37"/>
      <c r="F15" s="38"/>
      <c r="G15" s="38"/>
      <c r="H15" s="18"/>
    </row>
    <row r="17" spans="1:8" ht="31.5" x14ac:dyDescent="0.25">
      <c r="A17" s="22" t="s">
        <v>15</v>
      </c>
      <c r="B17" s="23" t="s">
        <v>18</v>
      </c>
      <c r="C17" s="22" t="s">
        <v>68</v>
      </c>
      <c r="D17" s="24" t="s">
        <v>69</v>
      </c>
      <c r="E17" s="25" t="s">
        <v>70</v>
      </c>
      <c r="F17" s="26" t="s">
        <v>71</v>
      </c>
      <c r="G17" s="27" t="s">
        <v>73</v>
      </c>
      <c r="H17" s="25" t="s">
        <v>17</v>
      </c>
    </row>
    <row r="18" spans="1:8" x14ac:dyDescent="0.25">
      <c r="A18" s="1" t="s">
        <v>6</v>
      </c>
      <c r="B18" s="17"/>
      <c r="C18" s="19"/>
      <c r="D18" s="2"/>
      <c r="E18" s="19"/>
      <c r="F18" s="19"/>
      <c r="G18" s="19"/>
      <c r="H18" s="18"/>
    </row>
    <row r="19" spans="1:8" x14ac:dyDescent="0.25">
      <c r="A19" s="39" t="s">
        <v>19</v>
      </c>
      <c r="B19" s="66">
        <v>31.02</v>
      </c>
      <c r="C19" s="95">
        <f>(C11-C10)/C4</f>
        <v>89.838774170010936</v>
      </c>
      <c r="D19" s="96">
        <f t="shared" ref="D19:F19" si="7">(D11-D10)/D4</f>
        <v>54.972480030429821</v>
      </c>
      <c r="E19" s="97">
        <f t="shared" si="7"/>
        <v>40.946869845822881</v>
      </c>
      <c r="F19" s="98">
        <f t="shared" si="7"/>
        <v>61.891353106998402</v>
      </c>
      <c r="G19" s="65">
        <v>14.73</v>
      </c>
      <c r="H19" s="11"/>
    </row>
    <row r="20" spans="1:8" x14ac:dyDescent="0.25">
      <c r="A20" s="20" t="s">
        <v>13</v>
      </c>
      <c r="B20" s="17"/>
      <c r="C20" s="17"/>
      <c r="D20" s="17"/>
      <c r="E20" s="17"/>
      <c r="F20" s="19"/>
      <c r="G20" s="19"/>
      <c r="H20" s="18"/>
    </row>
    <row r="21" spans="1:8" x14ac:dyDescent="0.25">
      <c r="A21" s="53" t="s">
        <v>20</v>
      </c>
      <c r="B21" s="54">
        <v>0.996</v>
      </c>
      <c r="C21" s="127">
        <f>((62*23)-707)/(62*23)</f>
        <v>0.50420757363253854</v>
      </c>
      <c r="D21" s="127">
        <f>((62*21)-654)/(62*21)</f>
        <v>0.49769585253456222</v>
      </c>
      <c r="E21" s="127">
        <f>((62*21)-651)/(62*21)</f>
        <v>0.5</v>
      </c>
      <c r="F21" s="130">
        <f>AVERAGE(C21:E21)</f>
        <v>0.50063447538903361</v>
      </c>
      <c r="G21" s="99">
        <v>1</v>
      </c>
      <c r="H21" s="16" t="s">
        <v>77</v>
      </c>
    </row>
  </sheetData>
  <mergeCells count="1">
    <mergeCell ref="A1:H1"/>
  </mergeCells>
  <phoneticPr fontId="11" type="noConversion"/>
  <pageMargins left="0" right="0" top="0" bottom="0" header="0.3" footer="0.3"/>
  <pageSetup scale="72" orientation="landscape" horizontalDpi="300" verticalDpi="300" r:id="rId1"/>
  <ignoredErrors>
    <ignoredError sqref="F4:F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FA1B-F051-4A74-8436-3DEE19668140}">
  <sheetPr>
    <tabColor theme="9"/>
    <pageSetUpPr fitToPage="1"/>
  </sheetPr>
  <dimension ref="A1:H22"/>
  <sheetViews>
    <sheetView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9" t="s">
        <v>74</v>
      </c>
      <c r="B1" s="129"/>
      <c r="C1" s="129"/>
      <c r="D1" s="129"/>
      <c r="E1" s="129"/>
      <c r="F1" s="129"/>
      <c r="G1" s="129"/>
      <c r="H1" s="129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6" t="s">
        <v>71</v>
      </c>
      <c r="G2" s="26" t="s">
        <v>73</v>
      </c>
      <c r="H2" s="26" t="s">
        <v>17</v>
      </c>
    </row>
    <row r="3" spans="1:8" x14ac:dyDescent="0.25">
      <c r="A3" s="1" t="s">
        <v>7</v>
      </c>
      <c r="B3" s="17"/>
      <c r="C3" s="2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27400</v>
      </c>
      <c r="C4" s="28">
        <v>725</v>
      </c>
      <c r="D4" s="73">
        <v>774</v>
      </c>
      <c r="E4" s="73">
        <v>876</v>
      </c>
      <c r="F4" s="75">
        <f>SUM(C4:E4)</f>
        <v>2375</v>
      </c>
      <c r="G4" s="31">
        <v>28507</v>
      </c>
      <c r="H4" s="11"/>
    </row>
    <row r="5" spans="1:8" x14ac:dyDescent="0.25">
      <c r="A5" s="3" t="s">
        <v>2</v>
      </c>
      <c r="B5" s="3"/>
      <c r="C5" s="29">
        <v>6764</v>
      </c>
      <c r="D5" s="73">
        <v>6570</v>
      </c>
      <c r="E5" s="73">
        <v>8406</v>
      </c>
      <c r="F5" s="76">
        <f>SUM(C5:E5)</f>
        <v>21740</v>
      </c>
      <c r="G5" s="8"/>
      <c r="H5" s="8"/>
    </row>
    <row r="6" spans="1:8" x14ac:dyDescent="0.25">
      <c r="A6" s="3" t="s">
        <v>3</v>
      </c>
      <c r="B6" s="3"/>
      <c r="C6" s="29">
        <v>442</v>
      </c>
      <c r="D6" s="73">
        <v>419</v>
      </c>
      <c r="E6" s="73">
        <v>530</v>
      </c>
      <c r="F6" s="76">
        <f>SUM(C6:E6)</f>
        <v>1391</v>
      </c>
      <c r="G6" s="8"/>
      <c r="H6" s="8"/>
    </row>
    <row r="7" spans="1:8" hidden="1" x14ac:dyDescent="0.25">
      <c r="A7" s="6" t="s">
        <v>4</v>
      </c>
      <c r="B7" s="6"/>
      <c r="C7" s="77">
        <f>C4/C5</f>
        <v>0.10718509757539917</v>
      </c>
      <c r="D7" s="78">
        <f t="shared" ref="D7:F7" si="0">D4/D5</f>
        <v>0.11780821917808219</v>
      </c>
      <c r="E7" s="79">
        <f t="shared" si="0"/>
        <v>0.10421127765881513</v>
      </c>
      <c r="F7" s="79">
        <f t="shared" si="0"/>
        <v>0.10924563017479301</v>
      </c>
      <c r="G7" s="8"/>
      <c r="H7" s="8"/>
    </row>
    <row r="8" spans="1:8" x14ac:dyDescent="0.25">
      <c r="A8" s="13" t="s">
        <v>5</v>
      </c>
      <c r="B8" s="30">
        <v>1.66</v>
      </c>
      <c r="C8" s="80">
        <f>C4/C6</f>
        <v>1.6402714932126696</v>
      </c>
      <c r="D8" s="81">
        <f t="shared" ref="D8:F8" si="1">D4/D6</f>
        <v>1.8472553699284009</v>
      </c>
      <c r="E8" s="82">
        <f t="shared" si="1"/>
        <v>1.6528301886792454</v>
      </c>
      <c r="F8" s="82">
        <f t="shared" si="1"/>
        <v>1.7074047447879224</v>
      </c>
      <c r="G8" s="57">
        <v>1.72</v>
      </c>
      <c r="H8" s="9"/>
    </row>
    <row r="9" spans="1:8" x14ac:dyDescent="0.25">
      <c r="A9" s="1" t="s">
        <v>6</v>
      </c>
      <c r="B9" s="17"/>
      <c r="C9" s="2"/>
      <c r="D9" s="19"/>
      <c r="E9" s="19"/>
      <c r="F9" s="19"/>
      <c r="G9" s="19"/>
      <c r="H9" s="18"/>
    </row>
    <row r="10" spans="1:8" x14ac:dyDescent="0.25">
      <c r="A10" s="10" t="s">
        <v>9</v>
      </c>
      <c r="B10" s="41"/>
      <c r="C10" s="41">
        <v>6043.12</v>
      </c>
      <c r="D10" s="84">
        <v>5899</v>
      </c>
      <c r="E10" s="84">
        <v>27525.35</v>
      </c>
      <c r="F10" s="83">
        <f>SUM(C10:E10)</f>
        <v>39467.47</v>
      </c>
      <c r="G10" s="11"/>
      <c r="H10" s="11"/>
    </row>
    <row r="11" spans="1:8" x14ac:dyDescent="0.25">
      <c r="A11" s="3" t="s">
        <v>8</v>
      </c>
      <c r="B11" s="42"/>
      <c r="C11" s="42">
        <v>200366.95</v>
      </c>
      <c r="D11" s="84">
        <v>93199.84</v>
      </c>
      <c r="E11" s="84">
        <v>84519.05</v>
      </c>
      <c r="F11" s="85">
        <f>SUM(C11:E11)</f>
        <v>378085.84</v>
      </c>
      <c r="G11" s="8"/>
      <c r="H11" s="8"/>
    </row>
    <row r="12" spans="1:8" x14ac:dyDescent="0.25">
      <c r="A12" s="6" t="s">
        <v>10</v>
      </c>
      <c r="B12" s="33">
        <v>5.96E-2</v>
      </c>
      <c r="C12" s="86">
        <f>C10/C11</f>
        <v>3.0160263456622958E-2</v>
      </c>
      <c r="D12" s="87">
        <f t="shared" ref="D12:F12" si="2">D10/D11</f>
        <v>6.3294100075708293E-2</v>
      </c>
      <c r="E12" s="88">
        <f t="shared" si="2"/>
        <v>0.32567036662148946</v>
      </c>
      <c r="F12" s="88">
        <f t="shared" si="2"/>
        <v>0.10438759092379656</v>
      </c>
      <c r="G12" s="59">
        <v>0.15240000000000001</v>
      </c>
      <c r="H12" s="8"/>
    </row>
    <row r="13" spans="1:8" hidden="1" x14ac:dyDescent="0.25">
      <c r="A13" s="6" t="s">
        <v>11</v>
      </c>
      <c r="B13" s="43"/>
      <c r="C13" s="89">
        <f>C11/C5</f>
        <v>29.622553222945005</v>
      </c>
      <c r="D13" s="90">
        <f t="shared" ref="D13:F13" si="3">D11/D5</f>
        <v>14.185668188736681</v>
      </c>
      <c r="E13" s="91">
        <f t="shared" si="3"/>
        <v>10.054609802522009</v>
      </c>
      <c r="F13" s="91">
        <f t="shared" si="3"/>
        <v>17.391252989880407</v>
      </c>
      <c r="G13" s="58"/>
      <c r="H13" s="8"/>
    </row>
    <row r="14" spans="1:8" x14ac:dyDescent="0.25">
      <c r="A14" s="13" t="s">
        <v>12</v>
      </c>
      <c r="B14" s="34">
        <v>128.44999999999999</v>
      </c>
      <c r="C14" s="92">
        <f>C11/C6</f>
        <v>453.31889140271494</v>
      </c>
      <c r="D14" s="93">
        <f t="shared" ref="D14:F14" si="4">D11/D6</f>
        <v>222.43398568019091</v>
      </c>
      <c r="E14" s="94">
        <f t="shared" si="4"/>
        <v>159.46990566037735</v>
      </c>
      <c r="F14" s="94">
        <f t="shared" si="4"/>
        <v>271.80865564342201</v>
      </c>
      <c r="G14" s="64">
        <v>62.66</v>
      </c>
      <c r="H14" s="9"/>
    </row>
    <row r="15" spans="1:8" x14ac:dyDescent="0.25">
      <c r="A15" s="1" t="s">
        <v>13</v>
      </c>
      <c r="B15" s="17"/>
      <c r="C15" s="7"/>
      <c r="D15" s="17"/>
      <c r="E15" s="17"/>
      <c r="F15" s="19"/>
      <c r="G15" s="19"/>
      <c r="H15" s="18"/>
    </row>
    <row r="16" spans="1:8" x14ac:dyDescent="0.25">
      <c r="A16" s="14" t="s">
        <v>14</v>
      </c>
      <c r="B16" s="44">
        <v>0.76590000000000003</v>
      </c>
      <c r="C16" s="45">
        <f>369/410</f>
        <v>0.9</v>
      </c>
      <c r="D16" s="46">
        <f>396/442</f>
        <v>0.89592760180995479</v>
      </c>
      <c r="E16" s="47">
        <f>428/466</f>
        <v>0.91845493562231761</v>
      </c>
      <c r="F16" s="125">
        <f>AVERAGE(C16:E16)</f>
        <v>0.90479417914409088</v>
      </c>
      <c r="G16" s="99">
        <v>0.79679999999999995</v>
      </c>
      <c r="H16" s="15"/>
    </row>
    <row r="18" spans="1:8" ht="31.5" x14ac:dyDescent="0.25">
      <c r="A18" s="22" t="s">
        <v>15</v>
      </c>
      <c r="B18" s="23" t="s">
        <v>18</v>
      </c>
      <c r="C18" s="22" t="s">
        <v>68</v>
      </c>
      <c r="D18" s="24" t="s">
        <v>69</v>
      </c>
      <c r="E18" s="25" t="s">
        <v>70</v>
      </c>
      <c r="F18" s="26" t="s">
        <v>71</v>
      </c>
      <c r="G18" s="27" t="s">
        <v>73</v>
      </c>
      <c r="H18" s="25" t="s">
        <v>17</v>
      </c>
    </row>
    <row r="19" spans="1:8" x14ac:dyDescent="0.25">
      <c r="A19" s="1" t="s">
        <v>6</v>
      </c>
      <c r="B19" s="17"/>
      <c r="C19" s="19"/>
      <c r="D19" s="2"/>
      <c r="E19" s="19"/>
      <c r="F19" s="19"/>
      <c r="G19" s="19"/>
      <c r="H19" s="18"/>
    </row>
    <row r="20" spans="1:8" x14ac:dyDescent="0.25">
      <c r="A20" s="55" t="s">
        <v>21</v>
      </c>
      <c r="B20" s="61">
        <v>31.02</v>
      </c>
      <c r="C20" s="111">
        <f>(C11-C10)/C4</f>
        <v>268.03286896551725</v>
      </c>
      <c r="D20" s="112">
        <f t="shared" ref="D20:F20" si="5">(D11-D10)/D4</f>
        <v>112.79178294573643</v>
      </c>
      <c r="E20" s="113">
        <f t="shared" si="5"/>
        <v>65.061301369863017</v>
      </c>
      <c r="F20" s="113">
        <f t="shared" si="5"/>
        <v>142.57615578947369</v>
      </c>
      <c r="G20" s="62">
        <v>32.270000000000003</v>
      </c>
      <c r="H20" s="12"/>
    </row>
    <row r="21" spans="1:8" x14ac:dyDescent="0.25">
      <c r="A21" s="20" t="s">
        <v>13</v>
      </c>
      <c r="B21" s="17"/>
      <c r="C21" s="17"/>
      <c r="D21" s="17"/>
      <c r="E21" s="17"/>
      <c r="F21" s="19"/>
      <c r="G21" s="19"/>
      <c r="H21" s="18"/>
    </row>
    <row r="22" spans="1:8" x14ac:dyDescent="0.25">
      <c r="A22" s="53" t="s">
        <v>20</v>
      </c>
      <c r="B22" s="45">
        <v>0.997</v>
      </c>
      <c r="C22" s="45">
        <f>725/727</f>
        <v>0.99724896836313615</v>
      </c>
      <c r="D22" s="131">
        <f>774/774</f>
        <v>1</v>
      </c>
      <c r="E22" s="132">
        <f>876/876</f>
        <v>1</v>
      </c>
      <c r="F22" s="125">
        <f>AVERAGE(C22:E22)</f>
        <v>0.99908298945437879</v>
      </c>
      <c r="G22" s="99">
        <v>0.99</v>
      </c>
      <c r="H22" s="16"/>
    </row>
  </sheetData>
  <mergeCells count="1">
    <mergeCell ref="A1:H1"/>
  </mergeCells>
  <pageMargins left="0" right="0" top="0" bottom="0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D625-6641-4154-AC98-1DDB387ED8BC}">
  <sheetPr>
    <tabColor theme="9"/>
    <pageSetUpPr fitToPage="1"/>
  </sheetPr>
  <dimension ref="A1:H28"/>
  <sheetViews>
    <sheetView tabSelected="1" zoomScaleNormal="100" workbookViewId="0">
      <selection sqref="A1:H1"/>
    </sheetView>
  </sheetViews>
  <sheetFormatPr defaultRowHeight="15" x14ac:dyDescent="0.25"/>
  <cols>
    <col min="1" max="1" width="43" customWidth="1"/>
    <col min="2" max="7" width="14.7109375" customWidth="1"/>
    <col min="8" max="8" width="55" customWidth="1"/>
  </cols>
  <sheetData>
    <row r="1" spans="1:8" ht="23.25" x14ac:dyDescent="0.35">
      <c r="A1" s="129" t="s">
        <v>75</v>
      </c>
      <c r="B1" s="129"/>
      <c r="C1" s="129"/>
      <c r="D1" s="129"/>
      <c r="E1" s="129"/>
      <c r="F1" s="129"/>
      <c r="G1" s="129"/>
      <c r="H1" s="129"/>
    </row>
    <row r="2" spans="1:8" ht="31.5" x14ac:dyDescent="0.25">
      <c r="A2" s="22" t="s">
        <v>0</v>
      </c>
      <c r="B2" s="23" t="s">
        <v>18</v>
      </c>
      <c r="C2" s="22" t="s">
        <v>68</v>
      </c>
      <c r="D2" s="24" t="s">
        <v>69</v>
      </c>
      <c r="E2" s="25" t="s">
        <v>70</v>
      </c>
      <c r="F2" s="26" t="s">
        <v>71</v>
      </c>
      <c r="G2" s="26" t="s">
        <v>73</v>
      </c>
      <c r="H2" s="26" t="s">
        <v>17</v>
      </c>
    </row>
    <row r="3" spans="1:8" x14ac:dyDescent="0.25">
      <c r="A3" s="1" t="s">
        <v>7</v>
      </c>
      <c r="B3" s="17"/>
      <c r="C3" s="2"/>
      <c r="D3" s="19"/>
      <c r="E3" s="19"/>
      <c r="F3" s="19"/>
      <c r="G3" s="19"/>
      <c r="H3" s="18"/>
    </row>
    <row r="4" spans="1:8" x14ac:dyDescent="0.25">
      <c r="A4" s="10" t="s">
        <v>1</v>
      </c>
      <c r="B4" s="28">
        <v>153708</v>
      </c>
      <c r="C4" s="100">
        <f>SUM('FR Metrics Q1'!C4,'DR Metrics Q1'!C4)</f>
        <v>3466</v>
      </c>
      <c r="D4" s="101">
        <f>SUM('FR Metrics Q1'!D4,'DR Metrics Q1'!D4)</f>
        <v>3403</v>
      </c>
      <c r="E4" s="102">
        <f>SUM('FR Metrics Q1'!E4,'DR Metrics Q1'!E4)</f>
        <v>3665</v>
      </c>
      <c r="F4" s="75">
        <f>SUM(C4:E4)</f>
        <v>10534</v>
      </c>
      <c r="G4" s="126">
        <v>159917</v>
      </c>
      <c r="H4" s="11"/>
    </row>
    <row r="5" spans="1:8" x14ac:dyDescent="0.25">
      <c r="A5" s="3" t="s">
        <v>2</v>
      </c>
      <c r="B5" s="29"/>
      <c r="C5" s="103">
        <f>SUM('FR Metrics Q1'!C5,'DR Metrics Q1'!C5)</f>
        <v>29575.7</v>
      </c>
      <c r="D5" s="104">
        <f>SUM('FR Metrics Q1'!D5,'DR Metrics Q1'!D5)</f>
        <v>26817.17</v>
      </c>
      <c r="E5" s="105">
        <f>SUM('FR Metrics Q1'!E5,'DR Metrics Q1'!E5)</f>
        <v>27932.9</v>
      </c>
      <c r="F5" s="76">
        <f>SUM(C5:E5)</f>
        <v>84325.76999999999</v>
      </c>
      <c r="G5" s="32"/>
      <c r="H5" s="8"/>
    </row>
    <row r="6" spans="1:8" x14ac:dyDescent="0.25">
      <c r="A6" s="3" t="s">
        <v>3</v>
      </c>
      <c r="B6" s="29"/>
      <c r="C6" s="103">
        <f>SUM('FR Metrics Q1'!C6,'DR Metrics Q1'!C6)</f>
        <v>1234.04</v>
      </c>
      <c r="D6" s="104">
        <f>SUM('FR Metrics Q1'!D6,'DR Metrics Q1'!D6)</f>
        <v>1139</v>
      </c>
      <c r="E6" s="105">
        <f>SUM('FR Metrics Q1'!E6,'DR Metrics Q1'!E6)</f>
        <v>1253.17</v>
      </c>
      <c r="F6" s="76">
        <f>SUM(C6:E6)</f>
        <v>3626.21</v>
      </c>
      <c r="G6" s="32"/>
      <c r="H6" s="8"/>
    </row>
    <row r="7" spans="1:8" hidden="1" x14ac:dyDescent="0.25">
      <c r="A7" s="6" t="s">
        <v>4</v>
      </c>
      <c r="B7" s="48"/>
      <c r="C7" s="106">
        <f>C4/C5</f>
        <v>0.11719080190832339</v>
      </c>
      <c r="D7" s="107">
        <f t="shared" ref="D7:F7" si="0">D4/D5</f>
        <v>0.12689631307106605</v>
      </c>
      <c r="E7" s="108">
        <f t="shared" si="0"/>
        <v>0.13120728603188353</v>
      </c>
      <c r="F7" s="108">
        <f t="shared" si="0"/>
        <v>0.12492029423508379</v>
      </c>
      <c r="G7" s="49"/>
      <c r="H7" s="8"/>
    </row>
    <row r="8" spans="1:8" x14ac:dyDescent="0.25">
      <c r="A8" s="13" t="s">
        <v>5</v>
      </c>
      <c r="B8" s="30">
        <v>4.9000000000000004</v>
      </c>
      <c r="C8" s="80">
        <f>C4/C6</f>
        <v>2.8086609834365177</v>
      </c>
      <c r="D8" s="81">
        <f t="shared" ref="D8:F8" si="1">D4/D6</f>
        <v>2.9877085162423178</v>
      </c>
      <c r="E8" s="82">
        <f t="shared" si="1"/>
        <v>2.9245832568606014</v>
      </c>
      <c r="F8" s="82">
        <f t="shared" si="1"/>
        <v>2.9049613784088621</v>
      </c>
      <c r="G8" s="57">
        <v>5.09</v>
      </c>
      <c r="H8" s="9"/>
    </row>
    <row r="9" spans="1:8" x14ac:dyDescent="0.25">
      <c r="A9" s="1" t="s">
        <v>6</v>
      </c>
      <c r="B9" s="17"/>
      <c r="C9" s="109"/>
      <c r="D9" s="110"/>
      <c r="E9" s="110"/>
      <c r="F9" s="110"/>
      <c r="G9" s="19"/>
      <c r="H9" s="18"/>
    </row>
    <row r="10" spans="1:8" x14ac:dyDescent="0.25">
      <c r="A10" s="10" t="s">
        <v>9</v>
      </c>
      <c r="B10" s="36"/>
      <c r="C10" s="111">
        <f>SUM('FR Metrics Q1'!C10,'DR Metrics Q1'!C10)</f>
        <v>6093.47</v>
      </c>
      <c r="D10" s="112">
        <f>SUM('FR Metrics Q1'!D10,'DR Metrics Q1'!D10)</f>
        <v>5976.45</v>
      </c>
      <c r="E10" s="113">
        <f>SUM('FR Metrics Q1'!E10,'DR Metrics Q1'!E10)</f>
        <v>27968</v>
      </c>
      <c r="F10" s="98">
        <f>SUM(C10:E10)</f>
        <v>40037.919999999998</v>
      </c>
      <c r="G10" s="40"/>
      <c r="H10" s="11"/>
    </row>
    <row r="11" spans="1:8" x14ac:dyDescent="0.25">
      <c r="A11" s="3" t="s">
        <v>8</v>
      </c>
      <c r="B11" s="50"/>
      <c r="C11" s="89">
        <f>SUM('FR Metrics Q1'!C11,'DR Metrics Q1'!C11)</f>
        <v>446665.38</v>
      </c>
      <c r="D11" s="90">
        <f>SUM('FR Metrics Q1'!D11,'DR Metrics Q1'!D11)</f>
        <v>237799.94</v>
      </c>
      <c r="E11" s="91">
        <f>SUM('FR Metrics Q1'!E11,'DR Metrics Q1'!E11)</f>
        <v>199162.52000000002</v>
      </c>
      <c r="F11" s="114">
        <f>SUM(C11:E11)</f>
        <v>883627.84000000008</v>
      </c>
      <c r="G11" s="51"/>
      <c r="H11" s="8"/>
    </row>
    <row r="12" spans="1:8" x14ac:dyDescent="0.25">
      <c r="A12" s="6" t="s">
        <v>10</v>
      </c>
      <c r="B12" s="33">
        <v>8.9700000000000002E-2</v>
      </c>
      <c r="C12" s="86">
        <f>C10/C11</f>
        <v>1.3642136312422512E-2</v>
      </c>
      <c r="D12" s="87">
        <f t="shared" ref="D12:F12" si="2">D10/D11</f>
        <v>2.5132260336146427E-2</v>
      </c>
      <c r="E12" s="88">
        <f t="shared" si="2"/>
        <v>0.1404280283258115</v>
      </c>
      <c r="F12" s="88">
        <f t="shared" si="2"/>
        <v>4.5310840364649434E-2</v>
      </c>
      <c r="G12" s="59">
        <v>9.3200000000000005E-2</v>
      </c>
      <c r="H12" s="8"/>
    </row>
    <row r="13" spans="1:8" hidden="1" x14ac:dyDescent="0.25">
      <c r="A13" s="6" t="s">
        <v>11</v>
      </c>
      <c r="B13" s="43"/>
      <c r="C13" s="89">
        <f>C11/C5</f>
        <v>15.102444912546449</v>
      </c>
      <c r="D13" s="90">
        <f t="shared" ref="D13:F13" si="3">D11/D5</f>
        <v>8.867450965183874</v>
      </c>
      <c r="E13" s="91">
        <f t="shared" si="3"/>
        <v>7.1300337594735961</v>
      </c>
      <c r="F13" s="91">
        <f t="shared" si="3"/>
        <v>10.478740247494926</v>
      </c>
      <c r="G13" s="35"/>
      <c r="H13" s="8"/>
    </row>
    <row r="14" spans="1:8" x14ac:dyDescent="0.25">
      <c r="A14" s="13" t="s">
        <v>12</v>
      </c>
      <c r="B14" s="34">
        <v>92.55</v>
      </c>
      <c r="C14" s="92">
        <f>C11/C6</f>
        <v>361.95372921461217</v>
      </c>
      <c r="D14" s="93">
        <f t="shared" ref="D14:F14" si="4">D11/D6</f>
        <v>208.77957857769974</v>
      </c>
      <c r="E14" s="94">
        <f t="shared" si="4"/>
        <v>158.92697718585669</v>
      </c>
      <c r="F14" s="94">
        <f t="shared" si="4"/>
        <v>243.67806608001194</v>
      </c>
      <c r="G14" s="60">
        <v>96.28</v>
      </c>
      <c r="H14" s="9"/>
    </row>
    <row r="15" spans="1:8" hidden="1" x14ac:dyDescent="0.25">
      <c r="A15" s="1" t="s">
        <v>13</v>
      </c>
      <c r="B15" s="17"/>
      <c r="C15" s="7"/>
      <c r="D15" s="17"/>
      <c r="E15" s="17"/>
      <c r="F15" s="19"/>
      <c r="G15" s="19"/>
      <c r="H15" s="18"/>
    </row>
    <row r="17" spans="1:8" ht="31.5" x14ac:dyDescent="0.25">
      <c r="A17" s="22" t="s">
        <v>15</v>
      </c>
      <c r="B17" s="23" t="s">
        <v>18</v>
      </c>
      <c r="C17" s="22" t="s">
        <v>68</v>
      </c>
      <c r="D17" s="24" t="s">
        <v>69</v>
      </c>
      <c r="E17" s="25" t="s">
        <v>70</v>
      </c>
      <c r="F17" s="26" t="s">
        <v>71</v>
      </c>
      <c r="G17" s="27" t="s">
        <v>73</v>
      </c>
      <c r="H17" s="25" t="s">
        <v>17</v>
      </c>
    </row>
    <row r="18" spans="1:8" x14ac:dyDescent="0.25">
      <c r="A18" s="20" t="s">
        <v>13</v>
      </c>
      <c r="B18" s="17"/>
      <c r="C18" s="17"/>
      <c r="D18" s="17"/>
      <c r="E18" s="17"/>
      <c r="F18" s="19"/>
      <c r="G18" s="19"/>
      <c r="H18" s="18"/>
    </row>
    <row r="19" spans="1:8" x14ac:dyDescent="0.25">
      <c r="A19" s="3" t="s">
        <v>26</v>
      </c>
      <c r="B19" s="52"/>
      <c r="C19" s="29">
        <v>0</v>
      </c>
      <c r="D19" s="73">
        <v>2</v>
      </c>
      <c r="E19" s="73">
        <v>0</v>
      </c>
      <c r="F19" s="116">
        <f>SUM(C19:E19)</f>
        <v>2</v>
      </c>
      <c r="G19" s="49"/>
      <c r="H19" s="5"/>
    </row>
    <row r="20" spans="1:8" x14ac:dyDescent="0.25">
      <c r="A20" s="6" t="s">
        <v>25</v>
      </c>
      <c r="B20" s="48">
        <v>11.49</v>
      </c>
      <c r="C20" s="106">
        <f>C19/(C4/100000)</f>
        <v>0</v>
      </c>
      <c r="D20" s="107">
        <f>D19/(D4/100000)</f>
        <v>58.771672054069946</v>
      </c>
      <c r="E20" s="108">
        <f>E19/(E4/100000)</f>
        <v>0</v>
      </c>
      <c r="F20" s="106">
        <f>F19/(F4/100000)</f>
        <v>18.986140117714069</v>
      </c>
      <c r="G20" s="56">
        <v>11.03</v>
      </c>
      <c r="H20" s="5"/>
    </row>
    <row r="21" spans="1:8" x14ac:dyDescent="0.25">
      <c r="A21" s="3" t="s">
        <v>27</v>
      </c>
      <c r="B21" s="52"/>
      <c r="C21" s="29">
        <v>1</v>
      </c>
      <c r="D21" s="73">
        <v>0</v>
      </c>
      <c r="E21" s="73">
        <v>0</v>
      </c>
      <c r="F21" s="116">
        <f>SUM(C21:E21)</f>
        <v>1</v>
      </c>
      <c r="G21" s="49"/>
      <c r="H21" s="5"/>
    </row>
    <row r="22" spans="1:8" x14ac:dyDescent="0.25">
      <c r="A22" s="6" t="s">
        <v>22</v>
      </c>
      <c r="B22" s="48">
        <v>1.69</v>
      </c>
      <c r="C22" s="106">
        <f>C21/C5*100000</f>
        <v>3.381154123148395</v>
      </c>
      <c r="D22" s="107">
        <f t="shared" ref="D22:E22" si="5">D21/D5*100000</f>
        <v>0</v>
      </c>
      <c r="E22" s="108">
        <f t="shared" si="5"/>
        <v>0</v>
      </c>
      <c r="F22" s="116">
        <f>F21/(F5/100000)</f>
        <v>1.185877104946685</v>
      </c>
      <c r="G22" s="56">
        <v>1.62</v>
      </c>
      <c r="H22" s="5"/>
    </row>
    <row r="23" spans="1:8" x14ac:dyDescent="0.25">
      <c r="A23" s="3" t="s">
        <v>28</v>
      </c>
      <c r="B23" s="52"/>
      <c r="C23" s="29">
        <v>3</v>
      </c>
      <c r="D23" s="73">
        <v>0</v>
      </c>
      <c r="E23" s="73">
        <v>2</v>
      </c>
      <c r="F23" s="116">
        <f>SUM(C23:E23)</f>
        <v>5</v>
      </c>
      <c r="G23" s="49"/>
      <c r="H23" s="5"/>
    </row>
    <row r="24" spans="1:8" x14ac:dyDescent="0.25">
      <c r="A24" s="6" t="s">
        <v>23</v>
      </c>
      <c r="B24" s="48">
        <v>3.32</v>
      </c>
      <c r="C24" s="106">
        <f>C23/C5*100000</f>
        <v>10.143462369445185</v>
      </c>
      <c r="D24" s="107">
        <f t="shared" ref="D24:E24" si="6">D23/D5*100000</f>
        <v>0</v>
      </c>
      <c r="E24" s="108">
        <f t="shared" si="6"/>
        <v>7.1600156088340272</v>
      </c>
      <c r="F24" s="119">
        <f>F23/(F5/100000)</f>
        <v>5.9293855247334246</v>
      </c>
      <c r="G24" s="57">
        <v>3.18</v>
      </c>
      <c r="H24" s="5"/>
    </row>
    <row r="25" spans="1:8" x14ac:dyDescent="0.25">
      <c r="A25" s="20" t="s">
        <v>16</v>
      </c>
      <c r="B25" s="17"/>
      <c r="C25" s="17"/>
      <c r="D25" s="17"/>
      <c r="E25" s="17"/>
      <c r="F25" s="110"/>
      <c r="G25" s="19"/>
      <c r="H25" s="18"/>
    </row>
    <row r="26" spans="1:8" x14ac:dyDescent="0.25">
      <c r="A26" s="11" t="s">
        <v>29</v>
      </c>
      <c r="B26" s="21"/>
      <c r="C26" s="29">
        <v>13</v>
      </c>
      <c r="D26" s="73">
        <v>10</v>
      </c>
      <c r="E26" s="73">
        <v>16</v>
      </c>
      <c r="F26" s="122">
        <f>SUM(C26:E26)</f>
        <v>39</v>
      </c>
      <c r="G26" s="11"/>
      <c r="H26" s="12"/>
    </row>
    <row r="27" spans="1:8" x14ac:dyDescent="0.25">
      <c r="A27" s="8" t="s">
        <v>30</v>
      </c>
      <c r="B27" s="4"/>
      <c r="C27" s="29">
        <v>13</v>
      </c>
      <c r="D27" s="73">
        <v>10</v>
      </c>
      <c r="E27" s="73">
        <v>12</v>
      </c>
      <c r="F27" s="123">
        <f>SUM(C27:E27)</f>
        <v>35</v>
      </c>
      <c r="G27" s="8"/>
      <c r="H27" s="5"/>
    </row>
    <row r="28" spans="1:8" x14ac:dyDescent="0.25">
      <c r="A28" s="63" t="s">
        <v>24</v>
      </c>
      <c r="B28" s="117">
        <v>0.98509999999999998</v>
      </c>
      <c r="C28" s="120">
        <f>C27/C26</f>
        <v>1</v>
      </c>
      <c r="D28" s="121">
        <f t="shared" ref="D28:F28" si="7">D27/D26</f>
        <v>1</v>
      </c>
      <c r="E28" s="121">
        <f t="shared" si="7"/>
        <v>0.75</v>
      </c>
      <c r="F28" s="124">
        <f t="shared" si="7"/>
        <v>0.89743589743589747</v>
      </c>
      <c r="G28" s="118">
        <v>0.99</v>
      </c>
      <c r="H28" s="115"/>
    </row>
  </sheetData>
  <mergeCells count="1">
    <mergeCell ref="A1:H1"/>
  </mergeCells>
  <phoneticPr fontId="11" type="noConversion"/>
  <pageMargins left="0" right="0" top="0" bottom="0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A4AA-5146-4D09-B2DB-12B21B8423BA}">
  <sheetPr>
    <pageSetUpPr fitToPage="1"/>
  </sheetPr>
  <dimension ref="A1:H48"/>
  <sheetViews>
    <sheetView workbookViewId="0">
      <selection activeCell="F49" sqref="F49"/>
    </sheetView>
  </sheetViews>
  <sheetFormatPr defaultRowHeight="15" x14ac:dyDescent="0.25"/>
  <cols>
    <col min="1" max="1" width="14.7109375" customWidth="1"/>
    <col min="2" max="4" width="13.28515625" customWidth="1"/>
    <col min="5" max="5" width="43.140625" customWidth="1"/>
    <col min="6" max="6" width="13.28515625" customWidth="1"/>
  </cols>
  <sheetData>
    <row r="1" spans="1:8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68</v>
      </c>
      <c r="G1" t="s">
        <v>69</v>
      </c>
      <c r="H1" t="s">
        <v>70</v>
      </c>
    </row>
    <row r="2" spans="1:8" x14ac:dyDescent="0.25">
      <c r="A2" t="s">
        <v>35</v>
      </c>
      <c r="B2" t="s">
        <v>45</v>
      </c>
      <c r="C2">
        <v>2021</v>
      </c>
      <c r="D2" t="s">
        <v>76</v>
      </c>
      <c r="E2" t="s">
        <v>42</v>
      </c>
      <c r="F2">
        <f>'FR Metrics Q1'!C4</f>
        <v>2741</v>
      </c>
      <c r="G2">
        <f>'FR Metrics Q1'!D4</f>
        <v>2629</v>
      </c>
      <c r="H2">
        <f>'FR Metrics Q1'!E4</f>
        <v>2789</v>
      </c>
    </row>
    <row r="3" spans="1:8" x14ac:dyDescent="0.25">
      <c r="A3" t="s">
        <v>35</v>
      </c>
      <c r="B3" t="s">
        <v>45</v>
      </c>
      <c r="C3">
        <v>2021</v>
      </c>
      <c r="D3" t="s">
        <v>76</v>
      </c>
      <c r="E3" t="s">
        <v>44</v>
      </c>
      <c r="F3">
        <f>'FR Metrics Q1'!C5</f>
        <v>22811.7</v>
      </c>
      <c r="G3">
        <f>'FR Metrics Q1'!D5</f>
        <v>20247.169999999998</v>
      </c>
      <c r="H3">
        <f>'FR Metrics Q1'!E5</f>
        <v>19526.900000000001</v>
      </c>
    </row>
    <row r="4" spans="1:8" x14ac:dyDescent="0.25">
      <c r="A4" t="s">
        <v>35</v>
      </c>
      <c r="B4" t="s">
        <v>45</v>
      </c>
      <c r="C4">
        <v>2021</v>
      </c>
      <c r="D4" t="s">
        <v>76</v>
      </c>
      <c r="E4" t="s">
        <v>43</v>
      </c>
      <c r="F4">
        <f>'FR Metrics Q1'!C6</f>
        <v>792.04</v>
      </c>
      <c r="G4">
        <f>'FR Metrics Q1'!D6</f>
        <v>720</v>
      </c>
      <c r="H4">
        <f>'FR Metrics Q1'!E6</f>
        <v>723.17</v>
      </c>
    </row>
    <row r="5" spans="1:8" x14ac:dyDescent="0.25">
      <c r="A5" t="s">
        <v>35</v>
      </c>
      <c r="B5" t="s">
        <v>45</v>
      </c>
      <c r="C5">
        <v>2021</v>
      </c>
      <c r="D5" t="s">
        <v>76</v>
      </c>
      <c r="E5" t="s">
        <v>4</v>
      </c>
      <c r="F5">
        <f>'FR Metrics Q1'!C7</f>
        <v>0.12015763840485365</v>
      </c>
      <c r="G5">
        <f>'FR Metrics Q1'!D7</f>
        <v>0.12984530677620626</v>
      </c>
      <c r="H5">
        <f>'FR Metrics Q1'!E7</f>
        <v>0.14282861078819473</v>
      </c>
    </row>
    <row r="6" spans="1:8" x14ac:dyDescent="0.25">
      <c r="A6" t="s">
        <v>35</v>
      </c>
      <c r="B6" t="s">
        <v>45</v>
      </c>
      <c r="C6">
        <v>2021</v>
      </c>
      <c r="D6" t="s">
        <v>76</v>
      </c>
      <c r="E6" t="s">
        <v>5</v>
      </c>
      <c r="F6">
        <f>'FR Metrics Q1'!C8</f>
        <v>3.4606838038482906</v>
      </c>
      <c r="G6">
        <f>'FR Metrics Q1'!D8</f>
        <v>3.651388888888889</v>
      </c>
      <c r="H6">
        <f>'FR Metrics Q1'!E8</f>
        <v>3.85663122087476</v>
      </c>
    </row>
    <row r="7" spans="1:8" x14ac:dyDescent="0.25">
      <c r="A7" t="s">
        <v>35</v>
      </c>
      <c r="B7" t="s">
        <v>45</v>
      </c>
      <c r="C7">
        <v>2021</v>
      </c>
      <c r="D7" t="s">
        <v>76</v>
      </c>
      <c r="E7" t="s">
        <v>48</v>
      </c>
      <c r="F7">
        <f>'FR Metrics Q1'!C10</f>
        <v>50.35</v>
      </c>
      <c r="G7">
        <f>'FR Metrics Q1'!D10</f>
        <v>77.45</v>
      </c>
      <c r="H7">
        <f>'FR Metrics Q1'!E10</f>
        <v>442.65</v>
      </c>
    </row>
    <row r="8" spans="1:8" x14ac:dyDescent="0.25">
      <c r="A8" t="s">
        <v>35</v>
      </c>
      <c r="B8" t="s">
        <v>45</v>
      </c>
      <c r="C8">
        <v>2021</v>
      </c>
      <c r="D8" t="s">
        <v>76</v>
      </c>
      <c r="E8" t="s">
        <v>49</v>
      </c>
      <c r="F8">
        <f>'FR Metrics Q1'!C11</f>
        <v>246298.43</v>
      </c>
      <c r="G8">
        <f>'FR Metrics Q1'!D11</f>
        <v>144600.1</v>
      </c>
      <c r="H8">
        <f>'FR Metrics Q1'!E11</f>
        <v>114643.47</v>
      </c>
    </row>
    <row r="9" spans="1:8" x14ac:dyDescent="0.25">
      <c r="A9" t="s">
        <v>35</v>
      </c>
      <c r="B9" t="s">
        <v>45</v>
      </c>
      <c r="C9">
        <v>2021</v>
      </c>
      <c r="D9" t="s">
        <v>76</v>
      </c>
      <c r="E9" t="s">
        <v>50</v>
      </c>
      <c r="F9">
        <f>'FR Metrics Q1'!C12</f>
        <v>2.0442680044692124E-4</v>
      </c>
      <c r="G9">
        <f>'FR Metrics Q1'!D12</f>
        <v>5.3561512059811854E-4</v>
      </c>
      <c r="H9">
        <f>'FR Metrics Q1'!E12</f>
        <v>3.8611008546758046E-3</v>
      </c>
    </row>
    <row r="10" spans="1:8" x14ac:dyDescent="0.25">
      <c r="A10" t="s">
        <v>35</v>
      </c>
      <c r="B10" t="s">
        <v>45</v>
      </c>
      <c r="C10">
        <v>2021</v>
      </c>
      <c r="D10" t="s">
        <v>76</v>
      </c>
      <c r="E10" t="s">
        <v>51</v>
      </c>
      <c r="F10">
        <f>'FR Metrics Q1'!C13</f>
        <v>10.797022142146353</v>
      </c>
      <c r="G10">
        <f>'FR Metrics Q1'!D13</f>
        <v>7.1417437597451903</v>
      </c>
      <c r="H10">
        <f>'FR Metrics Q1'!E13</f>
        <v>5.8710532649831766</v>
      </c>
    </row>
    <row r="11" spans="1:8" x14ac:dyDescent="0.25">
      <c r="A11" t="s">
        <v>35</v>
      </c>
      <c r="B11" t="s">
        <v>45</v>
      </c>
      <c r="C11">
        <v>2021</v>
      </c>
      <c r="D11" t="s">
        <v>76</v>
      </c>
      <c r="E11" t="s">
        <v>52</v>
      </c>
      <c r="F11">
        <f>'FR Metrics Q1'!C14</f>
        <v>310.96716074945709</v>
      </c>
      <c r="G11">
        <f>'FR Metrics Q1'!D14</f>
        <v>200.83347222222224</v>
      </c>
      <c r="H11">
        <f>'FR Metrics Q1'!E14</f>
        <v>158.52907338523445</v>
      </c>
    </row>
    <row r="12" spans="1:8" x14ac:dyDescent="0.25">
      <c r="A12" t="s">
        <v>35</v>
      </c>
      <c r="B12" t="s">
        <v>45</v>
      </c>
      <c r="C12">
        <v>2021</v>
      </c>
      <c r="D12" t="s">
        <v>76</v>
      </c>
      <c r="E12" t="s">
        <v>64</v>
      </c>
      <c r="F12">
        <f>'FR Metrics Q1'!C11/'FR Metrics Q1'!C4</f>
        <v>89.85714337832907</v>
      </c>
      <c r="G12">
        <f>'FR Metrics Q1'!D11/'FR Metrics Q1'!D4</f>
        <v>55.001939901103086</v>
      </c>
      <c r="H12">
        <f>'FR Metrics Q1'!E11/'FR Metrics Q1'!E4</f>
        <v>41.105582646109717</v>
      </c>
    </row>
    <row r="13" spans="1:8" x14ac:dyDescent="0.25">
      <c r="A13" t="s">
        <v>35</v>
      </c>
      <c r="B13" t="s">
        <v>45</v>
      </c>
      <c r="C13">
        <v>2021</v>
      </c>
      <c r="D13" t="s">
        <v>76</v>
      </c>
      <c r="E13" t="s">
        <v>19</v>
      </c>
      <c r="F13">
        <f>'FR Metrics Q1'!C19</f>
        <v>89.838774170010936</v>
      </c>
      <c r="G13">
        <f>'FR Metrics Q1'!D19</f>
        <v>54.972480030429821</v>
      </c>
      <c r="H13">
        <f>'FR Metrics Q1'!E19</f>
        <v>40.946869845822881</v>
      </c>
    </row>
    <row r="14" spans="1:8" x14ac:dyDescent="0.25">
      <c r="A14" t="s">
        <v>35</v>
      </c>
      <c r="B14" t="s">
        <v>45</v>
      </c>
      <c r="C14">
        <v>2021</v>
      </c>
      <c r="D14" t="s">
        <v>76</v>
      </c>
      <c r="E14" t="s">
        <v>54</v>
      </c>
      <c r="F14">
        <f>'FR Metrics Q1'!C21</f>
        <v>0.50420757363253854</v>
      </c>
      <c r="G14">
        <f>'FR Metrics Q1'!D21</f>
        <v>0.49769585253456222</v>
      </c>
      <c r="H14">
        <f>'FR Metrics Q1'!E21</f>
        <v>0.5</v>
      </c>
    </row>
    <row r="15" spans="1:8" x14ac:dyDescent="0.25">
      <c r="A15" t="s">
        <v>35</v>
      </c>
      <c r="B15" t="s">
        <v>45</v>
      </c>
      <c r="C15">
        <v>2021</v>
      </c>
      <c r="D15" t="s">
        <v>76</v>
      </c>
      <c r="E15" t="s">
        <v>53</v>
      </c>
      <c r="F15">
        <v>0</v>
      </c>
      <c r="G15">
        <v>0</v>
      </c>
      <c r="H15">
        <v>0</v>
      </c>
    </row>
    <row r="16" spans="1:8" x14ac:dyDescent="0.25">
      <c r="A16" t="s">
        <v>35</v>
      </c>
      <c r="B16" t="s">
        <v>46</v>
      </c>
      <c r="C16">
        <v>2021</v>
      </c>
      <c r="D16" t="s">
        <v>76</v>
      </c>
      <c r="E16" t="s">
        <v>42</v>
      </c>
      <c r="F16">
        <f>'DR Metrics Q1'!C4</f>
        <v>725</v>
      </c>
      <c r="G16">
        <f>'DR Metrics Q1'!D4</f>
        <v>774</v>
      </c>
      <c r="H16">
        <f>'DR Metrics Q1'!E4</f>
        <v>876</v>
      </c>
    </row>
    <row r="17" spans="1:8" x14ac:dyDescent="0.25">
      <c r="A17" t="s">
        <v>35</v>
      </c>
      <c r="B17" t="s">
        <v>46</v>
      </c>
      <c r="C17">
        <v>2021</v>
      </c>
      <c r="D17" t="s">
        <v>76</v>
      </c>
      <c r="E17" t="s">
        <v>44</v>
      </c>
      <c r="F17">
        <f>'DR Metrics Q1'!C5</f>
        <v>6764</v>
      </c>
      <c r="G17">
        <f>'DR Metrics Q1'!D5</f>
        <v>6570</v>
      </c>
      <c r="H17">
        <f>'DR Metrics Q1'!E5</f>
        <v>8406</v>
      </c>
    </row>
    <row r="18" spans="1:8" x14ac:dyDescent="0.25">
      <c r="A18" t="s">
        <v>35</v>
      </c>
      <c r="B18" t="s">
        <v>46</v>
      </c>
      <c r="C18">
        <v>2021</v>
      </c>
      <c r="D18" t="s">
        <v>76</v>
      </c>
      <c r="E18" t="s">
        <v>43</v>
      </c>
      <c r="F18">
        <f>'DR Metrics Q1'!C6</f>
        <v>442</v>
      </c>
      <c r="G18">
        <f>'DR Metrics Q1'!D6</f>
        <v>419</v>
      </c>
      <c r="H18">
        <f>'DR Metrics Q1'!E6</f>
        <v>530</v>
      </c>
    </row>
    <row r="19" spans="1:8" x14ac:dyDescent="0.25">
      <c r="A19" t="s">
        <v>35</v>
      </c>
      <c r="B19" t="s">
        <v>46</v>
      </c>
      <c r="C19">
        <v>2021</v>
      </c>
      <c r="D19" t="s">
        <v>76</v>
      </c>
      <c r="E19" t="s">
        <v>4</v>
      </c>
      <c r="F19">
        <f>'DR Metrics Q1'!C7</f>
        <v>0.10718509757539917</v>
      </c>
      <c r="G19">
        <f>'DR Metrics Q1'!D7</f>
        <v>0.11780821917808219</v>
      </c>
      <c r="H19">
        <f>'DR Metrics Q1'!E7</f>
        <v>0.10421127765881513</v>
      </c>
    </row>
    <row r="20" spans="1:8" x14ac:dyDescent="0.25">
      <c r="A20" t="s">
        <v>35</v>
      </c>
      <c r="B20" t="s">
        <v>46</v>
      </c>
      <c r="C20">
        <v>2021</v>
      </c>
      <c r="D20" t="s">
        <v>76</v>
      </c>
      <c r="E20" t="s">
        <v>5</v>
      </c>
      <c r="F20">
        <f>'DR Metrics Q1'!C8</f>
        <v>1.6402714932126696</v>
      </c>
      <c r="G20">
        <f>'DR Metrics Q1'!D8</f>
        <v>1.8472553699284009</v>
      </c>
      <c r="H20">
        <f>'DR Metrics Q1'!E8</f>
        <v>1.6528301886792454</v>
      </c>
    </row>
    <row r="21" spans="1:8" x14ac:dyDescent="0.25">
      <c r="A21" t="s">
        <v>35</v>
      </c>
      <c r="B21" t="s">
        <v>46</v>
      </c>
      <c r="C21">
        <v>2021</v>
      </c>
      <c r="D21" t="s">
        <v>76</v>
      </c>
      <c r="E21" t="s">
        <v>48</v>
      </c>
      <c r="F21">
        <f>'DR Metrics Q1'!C10</f>
        <v>6043.12</v>
      </c>
      <c r="G21">
        <f>'DR Metrics Q1'!D10</f>
        <v>5899</v>
      </c>
      <c r="H21">
        <f>'DR Metrics Q1'!E10</f>
        <v>27525.35</v>
      </c>
    </row>
    <row r="22" spans="1:8" x14ac:dyDescent="0.25">
      <c r="A22" t="s">
        <v>35</v>
      </c>
      <c r="B22" t="s">
        <v>46</v>
      </c>
      <c r="C22">
        <v>2021</v>
      </c>
      <c r="D22" t="s">
        <v>76</v>
      </c>
      <c r="E22" t="s">
        <v>49</v>
      </c>
      <c r="F22">
        <f>'DR Metrics Q1'!C11</f>
        <v>200366.95</v>
      </c>
      <c r="G22">
        <f>'DR Metrics Q1'!D11</f>
        <v>93199.84</v>
      </c>
      <c r="H22">
        <f>'DR Metrics Q1'!E11</f>
        <v>84519.05</v>
      </c>
    </row>
    <row r="23" spans="1:8" x14ac:dyDescent="0.25">
      <c r="A23" t="s">
        <v>35</v>
      </c>
      <c r="B23" t="s">
        <v>46</v>
      </c>
      <c r="C23">
        <v>2021</v>
      </c>
      <c r="D23" t="s">
        <v>76</v>
      </c>
      <c r="E23" t="s">
        <v>50</v>
      </c>
      <c r="F23">
        <f>'DR Metrics Q1'!C12</f>
        <v>3.0160263456622958E-2</v>
      </c>
      <c r="G23">
        <f>'DR Metrics Q1'!D12</f>
        <v>6.3294100075708293E-2</v>
      </c>
      <c r="H23">
        <f>'DR Metrics Q1'!E12</f>
        <v>0.32567036662148946</v>
      </c>
    </row>
    <row r="24" spans="1:8" x14ac:dyDescent="0.25">
      <c r="A24" t="s">
        <v>35</v>
      </c>
      <c r="B24" t="s">
        <v>46</v>
      </c>
      <c r="C24">
        <v>2021</v>
      </c>
      <c r="D24" t="s">
        <v>76</v>
      </c>
      <c r="E24" t="s">
        <v>51</v>
      </c>
      <c r="F24">
        <f>'DR Metrics Q1'!C13</f>
        <v>29.622553222945005</v>
      </c>
      <c r="G24">
        <f>'DR Metrics Q1'!D13</f>
        <v>14.185668188736681</v>
      </c>
      <c r="H24">
        <f>'DR Metrics Q1'!E13</f>
        <v>10.054609802522009</v>
      </c>
    </row>
    <row r="25" spans="1:8" x14ac:dyDescent="0.25">
      <c r="A25" t="s">
        <v>35</v>
      </c>
      <c r="B25" t="s">
        <v>46</v>
      </c>
      <c r="C25">
        <v>2021</v>
      </c>
      <c r="D25" t="s">
        <v>76</v>
      </c>
      <c r="E25" t="s">
        <v>52</v>
      </c>
      <c r="F25">
        <f>'DR Metrics Q1'!C14</f>
        <v>453.31889140271494</v>
      </c>
      <c r="G25">
        <f>'DR Metrics Q1'!D14</f>
        <v>222.43398568019091</v>
      </c>
      <c r="H25">
        <f>'DR Metrics Q1'!E14</f>
        <v>159.46990566037735</v>
      </c>
    </row>
    <row r="26" spans="1:8" x14ac:dyDescent="0.25">
      <c r="A26" t="s">
        <v>35</v>
      </c>
      <c r="B26" t="s">
        <v>46</v>
      </c>
      <c r="C26">
        <v>2021</v>
      </c>
      <c r="D26" t="s">
        <v>76</v>
      </c>
      <c r="E26" t="s">
        <v>64</v>
      </c>
      <c r="F26">
        <f>'DR Metrics Q1'!C11/'DR Metrics Q1'!C4</f>
        <v>276.36820689655173</v>
      </c>
      <c r="G26">
        <f>'DR Metrics Q1'!D11/'DR Metrics Q1'!D4</f>
        <v>120.4132299741602</v>
      </c>
      <c r="H26">
        <f>'DR Metrics Q1'!E11/'DR Metrics Q1'!E4</f>
        <v>96.482933789954345</v>
      </c>
    </row>
    <row r="27" spans="1:8" x14ac:dyDescent="0.25">
      <c r="A27" t="s">
        <v>35</v>
      </c>
      <c r="B27" t="s">
        <v>46</v>
      </c>
      <c r="C27">
        <v>2021</v>
      </c>
      <c r="D27" t="s">
        <v>76</v>
      </c>
      <c r="E27" t="s">
        <v>53</v>
      </c>
      <c r="F27">
        <f>'DR Metrics Q1'!C16</f>
        <v>0.9</v>
      </c>
      <c r="G27">
        <f>'DR Metrics Q1'!D16</f>
        <v>0.89592760180995479</v>
      </c>
      <c r="H27">
        <f>'DR Metrics Q1'!E16</f>
        <v>0.91845493562231761</v>
      </c>
    </row>
    <row r="28" spans="1:8" x14ac:dyDescent="0.25">
      <c r="A28" t="s">
        <v>35</v>
      </c>
      <c r="B28" t="s">
        <v>46</v>
      </c>
      <c r="C28">
        <v>2021</v>
      </c>
      <c r="D28" t="s">
        <v>76</v>
      </c>
      <c r="E28" t="s">
        <v>21</v>
      </c>
      <c r="F28">
        <f>'DR Metrics Q1'!C20</f>
        <v>268.03286896551725</v>
      </c>
      <c r="G28">
        <f>'DR Metrics Q1'!D20</f>
        <v>112.79178294573643</v>
      </c>
      <c r="H28">
        <f>'DR Metrics Q1'!E20</f>
        <v>65.061301369863017</v>
      </c>
    </row>
    <row r="29" spans="1:8" x14ac:dyDescent="0.25">
      <c r="A29" t="s">
        <v>35</v>
      </c>
      <c r="B29" t="s">
        <v>46</v>
      </c>
      <c r="C29">
        <v>2021</v>
      </c>
      <c r="D29" t="s">
        <v>76</v>
      </c>
      <c r="E29" t="s">
        <v>54</v>
      </c>
      <c r="F29">
        <f>'DR Metrics Q1'!C22</f>
        <v>0.99724896836313615</v>
      </c>
      <c r="G29">
        <f>'DR Metrics Q1'!D22</f>
        <v>1</v>
      </c>
      <c r="H29">
        <f>'DR Metrics Q1'!E22</f>
        <v>1</v>
      </c>
    </row>
    <row r="30" spans="1:8" x14ac:dyDescent="0.25">
      <c r="A30" t="s">
        <v>35</v>
      </c>
      <c r="B30" t="s">
        <v>47</v>
      </c>
      <c r="C30">
        <v>2021</v>
      </c>
      <c r="D30" t="s">
        <v>76</v>
      </c>
      <c r="E30" t="s">
        <v>42</v>
      </c>
      <c r="F30">
        <f>'SW Metrics Q1'!C4</f>
        <v>3466</v>
      </c>
      <c r="G30">
        <f>'SW Metrics Q1'!D4</f>
        <v>3403</v>
      </c>
      <c r="H30">
        <f>'SW Metrics Q1'!E4</f>
        <v>3665</v>
      </c>
    </row>
    <row r="31" spans="1:8" x14ac:dyDescent="0.25">
      <c r="A31" t="s">
        <v>35</v>
      </c>
      <c r="B31" t="s">
        <v>47</v>
      </c>
      <c r="C31">
        <v>2021</v>
      </c>
      <c r="D31" t="s">
        <v>76</v>
      </c>
      <c r="E31" t="s">
        <v>44</v>
      </c>
      <c r="F31">
        <f>'SW Metrics Q1'!C5</f>
        <v>29575.7</v>
      </c>
      <c r="G31">
        <f>'SW Metrics Q1'!D5</f>
        <v>26817.17</v>
      </c>
      <c r="H31">
        <f>'SW Metrics Q1'!E5</f>
        <v>27932.9</v>
      </c>
    </row>
    <row r="32" spans="1:8" x14ac:dyDescent="0.25">
      <c r="A32" t="s">
        <v>35</v>
      </c>
      <c r="B32" t="s">
        <v>47</v>
      </c>
      <c r="C32">
        <v>2021</v>
      </c>
      <c r="D32" t="s">
        <v>76</v>
      </c>
      <c r="E32" t="s">
        <v>43</v>
      </c>
      <c r="F32">
        <f>'SW Metrics Q1'!C6</f>
        <v>1234.04</v>
      </c>
      <c r="G32">
        <f>'SW Metrics Q1'!D6</f>
        <v>1139</v>
      </c>
      <c r="H32">
        <f>'SW Metrics Q1'!E6</f>
        <v>1253.17</v>
      </c>
    </row>
    <row r="33" spans="1:8" x14ac:dyDescent="0.25">
      <c r="A33" t="s">
        <v>35</v>
      </c>
      <c r="B33" t="s">
        <v>47</v>
      </c>
      <c r="C33">
        <v>2021</v>
      </c>
      <c r="D33" t="s">
        <v>76</v>
      </c>
      <c r="E33" t="s">
        <v>4</v>
      </c>
      <c r="F33">
        <f>'SW Metrics Q1'!C7</f>
        <v>0.11719080190832339</v>
      </c>
      <c r="G33">
        <f>'SW Metrics Q1'!D7</f>
        <v>0.12689631307106605</v>
      </c>
      <c r="H33">
        <f>'SW Metrics Q1'!E7</f>
        <v>0.13120728603188353</v>
      </c>
    </row>
    <row r="34" spans="1:8" x14ac:dyDescent="0.25">
      <c r="A34" t="s">
        <v>35</v>
      </c>
      <c r="B34" t="s">
        <v>47</v>
      </c>
      <c r="C34">
        <v>2021</v>
      </c>
      <c r="D34" t="s">
        <v>76</v>
      </c>
      <c r="E34" t="s">
        <v>5</v>
      </c>
      <c r="F34">
        <f>'SW Metrics Q1'!C8</f>
        <v>2.8086609834365177</v>
      </c>
      <c r="G34">
        <f>'SW Metrics Q1'!D8</f>
        <v>2.9877085162423178</v>
      </c>
      <c r="H34">
        <f>'SW Metrics Q1'!E8</f>
        <v>2.9245832568606014</v>
      </c>
    </row>
    <row r="35" spans="1:8" x14ac:dyDescent="0.25">
      <c r="A35" t="s">
        <v>35</v>
      </c>
      <c r="B35" t="s">
        <v>47</v>
      </c>
      <c r="C35">
        <v>2021</v>
      </c>
      <c r="D35" t="s">
        <v>76</v>
      </c>
      <c r="E35" t="s">
        <v>48</v>
      </c>
      <c r="F35">
        <f>'SW Metrics Q1'!C10</f>
        <v>6093.47</v>
      </c>
      <c r="G35">
        <f>'SW Metrics Q1'!D10</f>
        <v>5976.45</v>
      </c>
      <c r="H35">
        <f>'SW Metrics Q1'!E10</f>
        <v>27968</v>
      </c>
    </row>
    <row r="36" spans="1:8" x14ac:dyDescent="0.25">
      <c r="A36" t="s">
        <v>35</v>
      </c>
      <c r="B36" t="s">
        <v>47</v>
      </c>
      <c r="C36">
        <v>2021</v>
      </c>
      <c r="D36" t="s">
        <v>76</v>
      </c>
      <c r="E36" t="s">
        <v>49</v>
      </c>
      <c r="F36">
        <f>'SW Metrics Q1'!C11</f>
        <v>446665.38</v>
      </c>
      <c r="G36">
        <f>'SW Metrics Q1'!D11</f>
        <v>237799.94</v>
      </c>
      <c r="H36">
        <f>'SW Metrics Q1'!E11</f>
        <v>199162.52000000002</v>
      </c>
    </row>
    <row r="37" spans="1:8" x14ac:dyDescent="0.25">
      <c r="A37" t="s">
        <v>35</v>
      </c>
      <c r="B37" t="s">
        <v>47</v>
      </c>
      <c r="C37">
        <v>2021</v>
      </c>
      <c r="D37" t="s">
        <v>76</v>
      </c>
      <c r="E37" t="s">
        <v>50</v>
      </c>
      <c r="F37">
        <f>'SW Metrics Q1'!C12</f>
        <v>1.3642136312422512E-2</v>
      </c>
      <c r="G37">
        <f>'SW Metrics Q1'!D12</f>
        <v>2.5132260336146427E-2</v>
      </c>
      <c r="H37">
        <f>'SW Metrics Q1'!E12</f>
        <v>0.1404280283258115</v>
      </c>
    </row>
    <row r="38" spans="1:8" x14ac:dyDescent="0.25">
      <c r="A38" t="s">
        <v>35</v>
      </c>
      <c r="B38" t="s">
        <v>47</v>
      </c>
      <c r="C38">
        <v>2021</v>
      </c>
      <c r="D38" t="s">
        <v>76</v>
      </c>
      <c r="E38" t="s">
        <v>51</v>
      </c>
      <c r="F38">
        <f>'SW Metrics Q1'!C13</f>
        <v>15.102444912546449</v>
      </c>
      <c r="G38">
        <f>'SW Metrics Q1'!D13</f>
        <v>8.867450965183874</v>
      </c>
      <c r="H38">
        <f>'SW Metrics Q1'!E13</f>
        <v>7.1300337594735961</v>
      </c>
    </row>
    <row r="39" spans="1:8" x14ac:dyDescent="0.25">
      <c r="A39" t="s">
        <v>35</v>
      </c>
      <c r="B39" t="s">
        <v>47</v>
      </c>
      <c r="C39">
        <v>2021</v>
      </c>
      <c r="D39" t="s">
        <v>76</v>
      </c>
      <c r="E39" t="s">
        <v>52</v>
      </c>
      <c r="F39">
        <f>'SW Metrics Q1'!C14</f>
        <v>361.95372921461217</v>
      </c>
      <c r="G39">
        <f>'SW Metrics Q1'!D14</f>
        <v>208.77957857769974</v>
      </c>
      <c r="H39">
        <f>'SW Metrics Q1'!E14</f>
        <v>158.92697718585669</v>
      </c>
    </row>
    <row r="40" spans="1:8" x14ac:dyDescent="0.25">
      <c r="A40" t="s">
        <v>35</v>
      </c>
      <c r="B40" t="s">
        <v>47</v>
      </c>
      <c r="C40">
        <v>2021</v>
      </c>
      <c r="D40" t="s">
        <v>76</v>
      </c>
      <c r="E40" t="s">
        <v>55</v>
      </c>
      <c r="F40">
        <f>'SW Metrics Q1'!C19</f>
        <v>0</v>
      </c>
      <c r="G40">
        <f>'SW Metrics Q1'!D19</f>
        <v>2</v>
      </c>
      <c r="H40">
        <f>'SW Metrics Q1'!E19</f>
        <v>0</v>
      </c>
    </row>
    <row r="41" spans="1:8" x14ac:dyDescent="0.25">
      <c r="A41" t="s">
        <v>35</v>
      </c>
      <c r="B41" t="s">
        <v>47</v>
      </c>
      <c r="C41">
        <v>2021</v>
      </c>
      <c r="D41" t="s">
        <v>76</v>
      </c>
      <c r="E41" t="s">
        <v>63</v>
      </c>
      <c r="F41">
        <f>'SW Metrics Q1'!C20</f>
        <v>0</v>
      </c>
      <c r="G41">
        <f>'SW Metrics Q1'!D20</f>
        <v>58.771672054069946</v>
      </c>
      <c r="H41">
        <f>'SW Metrics Q1'!E20</f>
        <v>0</v>
      </c>
    </row>
    <row r="42" spans="1:8" x14ac:dyDescent="0.25">
      <c r="A42" t="s">
        <v>35</v>
      </c>
      <c r="B42" t="s">
        <v>47</v>
      </c>
      <c r="C42">
        <v>2021</v>
      </c>
      <c r="D42" t="s">
        <v>76</v>
      </c>
      <c r="E42" t="s">
        <v>56</v>
      </c>
      <c r="F42">
        <f>'SW Metrics Q1'!C21</f>
        <v>1</v>
      </c>
      <c r="G42">
        <f>'SW Metrics Q1'!D21</f>
        <v>0</v>
      </c>
      <c r="H42">
        <f>'SW Metrics Q1'!E21</f>
        <v>0</v>
      </c>
    </row>
    <row r="43" spans="1:8" x14ac:dyDescent="0.25">
      <c r="A43" t="s">
        <v>35</v>
      </c>
      <c r="B43" t="s">
        <v>47</v>
      </c>
      <c r="C43">
        <v>2021</v>
      </c>
      <c r="D43" t="s">
        <v>76</v>
      </c>
      <c r="E43" t="s">
        <v>57</v>
      </c>
      <c r="F43">
        <f>'SW Metrics Q1'!C22</f>
        <v>3.381154123148395</v>
      </c>
      <c r="G43">
        <f>'SW Metrics Q1'!D22</f>
        <v>0</v>
      </c>
      <c r="H43">
        <f>'SW Metrics Q1'!E22</f>
        <v>0</v>
      </c>
    </row>
    <row r="44" spans="1:8" x14ac:dyDescent="0.25">
      <c r="A44" t="s">
        <v>35</v>
      </c>
      <c r="B44" t="s">
        <v>47</v>
      </c>
      <c r="C44">
        <v>2021</v>
      </c>
      <c r="D44" t="s">
        <v>76</v>
      </c>
      <c r="E44" t="s">
        <v>58</v>
      </c>
      <c r="F44">
        <f>'SW Metrics Q1'!C23</f>
        <v>3</v>
      </c>
      <c r="G44">
        <f>'SW Metrics Q1'!D23</f>
        <v>0</v>
      </c>
      <c r="H44">
        <f>'SW Metrics Q1'!E23</f>
        <v>2</v>
      </c>
    </row>
    <row r="45" spans="1:8" x14ac:dyDescent="0.25">
      <c r="A45" t="s">
        <v>35</v>
      </c>
      <c r="B45" t="s">
        <v>47</v>
      </c>
      <c r="C45">
        <v>2021</v>
      </c>
      <c r="D45" t="s">
        <v>76</v>
      </c>
      <c r="E45" t="s">
        <v>59</v>
      </c>
      <c r="F45">
        <f>'SW Metrics Q1'!C24</f>
        <v>10.143462369445185</v>
      </c>
      <c r="G45">
        <f>'SW Metrics Q1'!D24</f>
        <v>0</v>
      </c>
      <c r="H45">
        <f>'SW Metrics Q1'!E24</f>
        <v>7.1600156088340272</v>
      </c>
    </row>
    <row r="46" spans="1:8" x14ac:dyDescent="0.25">
      <c r="A46" t="s">
        <v>35</v>
      </c>
      <c r="B46" t="s">
        <v>47</v>
      </c>
      <c r="C46">
        <v>2021</v>
      </c>
      <c r="D46" t="s">
        <v>76</v>
      </c>
      <c r="E46" t="s">
        <v>60</v>
      </c>
      <c r="F46">
        <f>'SW Metrics Q1'!C26</f>
        <v>13</v>
      </c>
      <c r="G46">
        <f>'SW Metrics Q1'!D26</f>
        <v>10</v>
      </c>
      <c r="H46">
        <f>'SW Metrics Q1'!E26</f>
        <v>16</v>
      </c>
    </row>
    <row r="47" spans="1:8" x14ac:dyDescent="0.25">
      <c r="A47" t="s">
        <v>35</v>
      </c>
      <c r="B47" t="s">
        <v>47</v>
      </c>
      <c r="C47">
        <v>2021</v>
      </c>
      <c r="D47" t="s">
        <v>76</v>
      </c>
      <c r="E47" t="s">
        <v>61</v>
      </c>
      <c r="F47">
        <f>'SW Metrics Q1'!C27</f>
        <v>13</v>
      </c>
      <c r="G47">
        <f>'SW Metrics Q1'!D27</f>
        <v>10</v>
      </c>
      <c r="H47">
        <f>'SW Metrics Q1'!E27</f>
        <v>12</v>
      </c>
    </row>
    <row r="48" spans="1:8" x14ac:dyDescent="0.25">
      <c r="A48" t="s">
        <v>35</v>
      </c>
      <c r="B48" t="s">
        <v>47</v>
      </c>
      <c r="C48">
        <v>2021</v>
      </c>
      <c r="D48" t="s">
        <v>76</v>
      </c>
      <c r="E48" t="s">
        <v>62</v>
      </c>
      <c r="F48">
        <f>'SW Metrics Q1'!C28</f>
        <v>1</v>
      </c>
      <c r="G48">
        <f>'SW Metrics Q1'!D28</f>
        <v>1</v>
      </c>
      <c r="H48">
        <f>'SW Metrics Q1'!E28</f>
        <v>0.75</v>
      </c>
    </row>
  </sheetData>
  <phoneticPr fontId="11" type="noConversion"/>
  <pageMargins left="0" right="0" top="0" bottom="0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9" ma:contentTypeDescription="Create a new document." ma:contentTypeScope="" ma:versionID="901de7ab5ba48909935ea87fb97e2dae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c5a39e2a85ee8d8e50fb10b33d25f21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3A17D-9A42-4D99-A8B2-AC307979E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A6C123-C727-4E54-9D1A-06702254DE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8f2fdac3-5421-455f-b4e4-df6141b317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CC2BBD-AAC2-49BD-8FA3-FF7C32D71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Metrics Directions</vt:lpstr>
      <vt:lpstr>FR Metrics Q1</vt:lpstr>
      <vt:lpstr>DR Metrics Q1</vt:lpstr>
      <vt:lpstr>SW Metrics Q1</vt:lpstr>
      <vt:lpstr>Data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Elizabeth (DOT)</dc:creator>
  <cp:lastModifiedBy>Michael Perreault</cp:lastModifiedBy>
  <cp:lastPrinted>2020-11-13T19:20:47Z</cp:lastPrinted>
  <dcterms:created xsi:type="dcterms:W3CDTF">2019-12-26T13:29:03Z</dcterms:created>
  <dcterms:modified xsi:type="dcterms:W3CDTF">2020-11-13T19:20:50Z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